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RAAB\Finance\"/>
    </mc:Choice>
  </mc:AlternateContent>
  <xr:revisionPtr revIDLastSave="0" documentId="8_{32424991-F932-4BBF-8602-563E3BC0C80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tatement of Financial Position" sheetId="4" r:id="rId1"/>
    <sheet name="Statement of Activity" sheetId="1" r:id="rId2"/>
    <sheet name="Dec Statement of Activity" sheetId="2" r:id="rId3"/>
    <sheet name="Dec Stmt of Activity by Spor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4" l="1"/>
  <c r="B58" i="4"/>
  <c r="B55" i="4"/>
  <c r="B53" i="4"/>
  <c r="B52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6" i="4"/>
  <c r="B25" i="4"/>
  <c r="B16" i="4"/>
  <c r="B14" i="4"/>
  <c r="B13" i="4"/>
  <c r="B12" i="4"/>
  <c r="B11" i="4"/>
  <c r="B15" i="4" s="1"/>
  <c r="B10" i="4"/>
  <c r="B9" i="4"/>
  <c r="B17" i="4" l="1"/>
  <c r="B18" i="4" s="1"/>
  <c r="B19" i="4" s="1"/>
  <c r="B54" i="4"/>
  <c r="B51" i="4"/>
  <c r="B56" i="4" s="1"/>
  <c r="B57" i="4" s="1"/>
  <c r="B60" i="4" s="1"/>
  <c r="B61" i="4" s="1"/>
  <c r="S56" i="3"/>
  <c r="S57" i="3" s="1"/>
  <c r="R56" i="3"/>
  <c r="R57" i="3" s="1"/>
  <c r="Q56" i="3"/>
  <c r="Q57" i="3" s="1"/>
  <c r="N56" i="3"/>
  <c r="M56" i="3"/>
  <c r="M57" i="3" s="1"/>
  <c r="L56" i="3"/>
  <c r="L57" i="3" s="1"/>
  <c r="K56" i="3"/>
  <c r="K57" i="3" s="1"/>
  <c r="J56" i="3"/>
  <c r="J57" i="3" s="1"/>
  <c r="I56" i="3"/>
  <c r="I57" i="3" s="1"/>
  <c r="H56" i="3"/>
  <c r="H57" i="3" s="1"/>
  <c r="G56" i="3"/>
  <c r="G57" i="3" s="1"/>
  <c r="F56" i="3"/>
  <c r="F57" i="3" s="1"/>
  <c r="D56" i="3"/>
  <c r="D57" i="3" s="1"/>
  <c r="C56" i="3"/>
  <c r="C57" i="3" s="1"/>
  <c r="B56" i="3"/>
  <c r="B57" i="3" s="1"/>
  <c r="P55" i="3"/>
  <c r="E55" i="3"/>
  <c r="T55" i="3" s="1"/>
  <c r="O54" i="3"/>
  <c r="O56" i="3" s="1"/>
  <c r="O57" i="3" s="1"/>
  <c r="S49" i="3"/>
  <c r="P49" i="3"/>
  <c r="S48" i="3"/>
  <c r="R48" i="3"/>
  <c r="Q48" i="3"/>
  <c r="O48" i="3"/>
  <c r="N48" i="3"/>
  <c r="P48" i="3" s="1"/>
  <c r="M48" i="3"/>
  <c r="L48" i="3"/>
  <c r="K48" i="3"/>
  <c r="J48" i="3"/>
  <c r="I48" i="3"/>
  <c r="H48" i="3"/>
  <c r="G48" i="3"/>
  <c r="F48" i="3"/>
  <c r="E48" i="3"/>
  <c r="C48" i="3"/>
  <c r="P47" i="3"/>
  <c r="C47" i="3"/>
  <c r="P46" i="3"/>
  <c r="D46" i="3"/>
  <c r="D48" i="3" s="1"/>
  <c r="B46" i="3"/>
  <c r="B48" i="3" s="1"/>
  <c r="P45" i="3"/>
  <c r="I45" i="3"/>
  <c r="F45" i="3"/>
  <c r="E45" i="3"/>
  <c r="D45" i="3"/>
  <c r="C45" i="3"/>
  <c r="R44" i="3"/>
  <c r="P44" i="3"/>
  <c r="H44" i="3"/>
  <c r="D44" i="3"/>
  <c r="S43" i="3"/>
  <c r="R43" i="3"/>
  <c r="R50" i="3" s="1"/>
  <c r="Q43" i="3"/>
  <c r="Q50" i="3" s="1"/>
  <c r="N43" i="3"/>
  <c r="P43" i="3" s="1"/>
  <c r="M43" i="3"/>
  <c r="M50" i="3" s="1"/>
  <c r="L43" i="3"/>
  <c r="L50" i="3" s="1"/>
  <c r="K43" i="3"/>
  <c r="J43" i="3"/>
  <c r="I43" i="3"/>
  <c r="H43" i="3"/>
  <c r="H50" i="3" s="1"/>
  <c r="G43" i="3"/>
  <c r="F43" i="3"/>
  <c r="F50" i="3" s="1"/>
  <c r="B43" i="3"/>
  <c r="P42" i="3"/>
  <c r="E42" i="3"/>
  <c r="T42" i="3" s="1"/>
  <c r="O41" i="3"/>
  <c r="O43" i="3" s="1"/>
  <c r="H41" i="3"/>
  <c r="H60" i="3" s="1"/>
  <c r="D41" i="3"/>
  <c r="D60" i="3" s="1"/>
  <c r="C41" i="3"/>
  <c r="P40" i="3"/>
  <c r="T40" i="3" s="1"/>
  <c r="O39" i="3"/>
  <c r="P39" i="3" s="1"/>
  <c r="T39" i="3" s="1"/>
  <c r="P38" i="3"/>
  <c r="O38" i="3"/>
  <c r="J38" i="3"/>
  <c r="B38" i="3"/>
  <c r="P37" i="3"/>
  <c r="B37" i="3"/>
  <c r="P36" i="3"/>
  <c r="O36" i="3"/>
  <c r="O50" i="3" s="1"/>
  <c r="J36" i="3"/>
  <c r="P35" i="3"/>
  <c r="G35" i="3"/>
  <c r="G50" i="3" s="1"/>
  <c r="P34" i="3"/>
  <c r="K34" i="3"/>
  <c r="T34" i="3" s="1"/>
  <c r="P33" i="3"/>
  <c r="T33" i="3" s="1"/>
  <c r="S32" i="3"/>
  <c r="R32" i="3"/>
  <c r="Q32" i="3"/>
  <c r="O32" i="3"/>
  <c r="P32" i="3" s="1"/>
  <c r="N32" i="3"/>
  <c r="M32" i="3"/>
  <c r="L32" i="3"/>
  <c r="K32" i="3"/>
  <c r="J32" i="3"/>
  <c r="I32" i="3"/>
  <c r="H32" i="3"/>
  <c r="G32" i="3"/>
  <c r="F32" i="3"/>
  <c r="D32" i="3"/>
  <c r="B32" i="3"/>
  <c r="T31" i="3"/>
  <c r="P31" i="3"/>
  <c r="D31" i="3"/>
  <c r="C31" i="3"/>
  <c r="P30" i="3"/>
  <c r="C30" i="3"/>
  <c r="C32" i="3" s="1"/>
  <c r="P29" i="3"/>
  <c r="E29" i="3"/>
  <c r="T28" i="3"/>
  <c r="P28" i="3"/>
  <c r="S27" i="3"/>
  <c r="R27" i="3"/>
  <c r="Q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O26" i="3"/>
  <c r="P26" i="3" s="1"/>
  <c r="T26" i="3" s="1"/>
  <c r="O25" i="3"/>
  <c r="T24" i="3"/>
  <c r="P24" i="3"/>
  <c r="P20" i="3"/>
  <c r="T20" i="3" s="1"/>
  <c r="O20" i="3"/>
  <c r="S19" i="3"/>
  <c r="M19" i="3"/>
  <c r="F19" i="3"/>
  <c r="P18" i="3"/>
  <c r="T18" i="3" s="1"/>
  <c r="H18" i="3"/>
  <c r="S17" i="3"/>
  <c r="R17" i="3"/>
  <c r="R19" i="3" s="1"/>
  <c r="Q17" i="3"/>
  <c r="Q19" i="3" s="1"/>
  <c r="O17" i="3"/>
  <c r="N17" i="3"/>
  <c r="N19" i="3" s="1"/>
  <c r="M17" i="3"/>
  <c r="K17" i="3"/>
  <c r="K19" i="3" s="1"/>
  <c r="J17" i="3"/>
  <c r="J19" i="3" s="1"/>
  <c r="I17" i="3"/>
  <c r="I19" i="3" s="1"/>
  <c r="H17" i="3"/>
  <c r="G17" i="3"/>
  <c r="G19" i="3" s="1"/>
  <c r="F17" i="3"/>
  <c r="E17" i="3"/>
  <c r="B17" i="3"/>
  <c r="B19" i="3" s="1"/>
  <c r="P16" i="3"/>
  <c r="D16" i="3"/>
  <c r="T16" i="3" s="1"/>
  <c r="P15" i="3"/>
  <c r="C15" i="3"/>
  <c r="T15" i="3" s="1"/>
  <c r="P14" i="3"/>
  <c r="L14" i="3"/>
  <c r="T14" i="3" s="1"/>
  <c r="P13" i="3"/>
  <c r="H13" i="3"/>
  <c r="H19" i="3" s="1"/>
  <c r="H21" i="3" s="1"/>
  <c r="H22" i="3" s="1"/>
  <c r="E13" i="3"/>
  <c r="O12" i="3"/>
  <c r="O19" i="3" s="1"/>
  <c r="P11" i="3"/>
  <c r="T11" i="3" s="1"/>
  <c r="R10" i="3"/>
  <c r="R21" i="3" s="1"/>
  <c r="R22" i="3" s="1"/>
  <c r="O10" i="3"/>
  <c r="N10" i="3"/>
  <c r="K10" i="3"/>
  <c r="K21" i="3" s="1"/>
  <c r="K22" i="3" s="1"/>
  <c r="J10" i="3"/>
  <c r="I10" i="3"/>
  <c r="H10" i="3"/>
  <c r="G10" i="3"/>
  <c r="F10" i="3"/>
  <c r="F21" i="3" s="1"/>
  <c r="F22" i="3" s="1"/>
  <c r="E10" i="3"/>
  <c r="C10" i="3"/>
  <c r="B10" i="3"/>
  <c r="O9" i="3"/>
  <c r="P9" i="3" s="1"/>
  <c r="T9" i="3" s="1"/>
  <c r="S8" i="3"/>
  <c r="S10" i="3" s="1"/>
  <c r="S21" i="3" s="1"/>
  <c r="S22" i="3" s="1"/>
  <c r="Q8" i="3"/>
  <c r="Q10" i="3" s="1"/>
  <c r="P8" i="3"/>
  <c r="M8" i="3"/>
  <c r="M10" i="3" s="1"/>
  <c r="L8" i="3"/>
  <c r="L10" i="3" s="1"/>
  <c r="K8" i="3"/>
  <c r="D8" i="3"/>
  <c r="D10" i="3" s="1"/>
  <c r="C8" i="3"/>
  <c r="P7" i="3"/>
  <c r="T7" i="3" s="1"/>
  <c r="B55" i="2"/>
  <c r="B54" i="2"/>
  <c r="B49" i="2"/>
  <c r="B48" i="2"/>
  <c r="B47" i="2"/>
  <c r="B46" i="2"/>
  <c r="B45" i="2"/>
  <c r="B44" i="2"/>
  <c r="B42" i="2"/>
  <c r="B41" i="2"/>
  <c r="B39" i="2"/>
  <c r="B38" i="2"/>
  <c r="B37" i="2"/>
  <c r="B36" i="2"/>
  <c r="B35" i="2"/>
  <c r="B34" i="2"/>
  <c r="B31" i="2"/>
  <c r="B30" i="2"/>
  <c r="B29" i="2"/>
  <c r="B27" i="2"/>
  <c r="B26" i="2"/>
  <c r="B25" i="2"/>
  <c r="B20" i="2"/>
  <c r="B18" i="2"/>
  <c r="B16" i="2"/>
  <c r="B15" i="2"/>
  <c r="B14" i="2"/>
  <c r="B13" i="2"/>
  <c r="B12" i="2"/>
  <c r="B9" i="2"/>
  <c r="B8" i="2"/>
  <c r="B10" i="2" s="1"/>
  <c r="B80" i="1"/>
  <c r="B79" i="1"/>
  <c r="B78" i="1"/>
  <c r="B73" i="1"/>
  <c r="B71" i="1"/>
  <c r="B70" i="1"/>
  <c r="B72" i="1" s="1"/>
  <c r="B69" i="1"/>
  <c r="B68" i="1"/>
  <c r="B67" i="1"/>
  <c r="B66" i="1"/>
  <c r="B65" i="1"/>
  <c r="B63" i="1"/>
  <c r="B62" i="1"/>
  <c r="B61" i="1"/>
  <c r="B60" i="1"/>
  <c r="B59" i="1"/>
  <c r="B58" i="1"/>
  <c r="B57" i="1"/>
  <c r="B56" i="1"/>
  <c r="B55" i="1"/>
  <c r="B54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43" i="1" s="1"/>
  <c r="B31" i="1"/>
  <c r="B32" i="1" s="1"/>
  <c r="B30" i="1"/>
  <c r="B29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10" i="1" s="1"/>
  <c r="B64" i="1" l="1"/>
  <c r="B74" i="1" s="1"/>
  <c r="B75" i="1" s="1"/>
  <c r="G21" i="3"/>
  <c r="G22" i="3" s="1"/>
  <c r="B81" i="1"/>
  <c r="B17" i="2"/>
  <c r="B19" i="2" s="1"/>
  <c r="B21" i="2" s="1"/>
  <c r="B22" i="2" s="1"/>
  <c r="B52" i="2" s="1"/>
  <c r="B58" i="2" s="1"/>
  <c r="B50" i="2"/>
  <c r="B43" i="2"/>
  <c r="T37" i="3"/>
  <c r="T44" i="3"/>
  <c r="T47" i="3"/>
  <c r="T49" i="3"/>
  <c r="B24" i="1"/>
  <c r="B28" i="1" s="1"/>
  <c r="B32" i="2"/>
  <c r="B56" i="2"/>
  <c r="B57" i="2" s="1"/>
  <c r="M21" i="3"/>
  <c r="M22" i="3" s="1"/>
  <c r="J21" i="3"/>
  <c r="J22" i="3" s="1"/>
  <c r="D17" i="3"/>
  <c r="D19" i="3" s="1"/>
  <c r="D21" i="3" s="1"/>
  <c r="D22" i="3" s="1"/>
  <c r="O27" i="3"/>
  <c r="O51" i="3" s="1"/>
  <c r="F51" i="3"/>
  <c r="L51" i="3"/>
  <c r="S51" i="3"/>
  <c r="T35" i="3"/>
  <c r="I50" i="3"/>
  <c r="I21" i="3"/>
  <c r="I22" i="3" s="1"/>
  <c r="M51" i="3"/>
  <c r="T36" i="3"/>
  <c r="T38" i="3"/>
  <c r="C43" i="3"/>
  <c r="C50" i="3" s="1"/>
  <c r="C60" i="3"/>
  <c r="B50" i="3"/>
  <c r="T45" i="3"/>
  <c r="B52" i="1"/>
  <c r="T8" i="3"/>
  <c r="P10" i="3"/>
  <c r="E19" i="3"/>
  <c r="E21" i="3" s="1"/>
  <c r="E22" i="3" s="1"/>
  <c r="T29" i="3"/>
  <c r="D43" i="3"/>
  <c r="D50" i="3" s="1"/>
  <c r="D51" i="3" s="1"/>
  <c r="K50" i="3"/>
  <c r="K51" i="3" s="1"/>
  <c r="K52" i="3" s="1"/>
  <c r="K58" i="3" s="1"/>
  <c r="K61" i="3" s="1"/>
  <c r="K62" i="3" s="1"/>
  <c r="S50" i="3"/>
  <c r="T48" i="3"/>
  <c r="G51" i="3"/>
  <c r="F52" i="3"/>
  <c r="F58" i="3" s="1"/>
  <c r="F61" i="3" s="1"/>
  <c r="F62" i="3" s="1"/>
  <c r="H51" i="3"/>
  <c r="H52" i="3" s="1"/>
  <c r="H58" i="3" s="1"/>
  <c r="H61" i="3" s="1"/>
  <c r="H62" i="3" s="1"/>
  <c r="P27" i="3"/>
  <c r="T27" i="3" s="1"/>
  <c r="P56" i="3"/>
  <c r="T56" i="3" s="1"/>
  <c r="T10" i="3"/>
  <c r="B21" i="3"/>
  <c r="S52" i="3"/>
  <c r="S58" i="3" s="1"/>
  <c r="S61" i="3" s="1"/>
  <c r="S62" i="3" s="1"/>
  <c r="O21" i="3"/>
  <c r="O22" i="3" s="1"/>
  <c r="O52" i="3" s="1"/>
  <c r="O58" i="3" s="1"/>
  <c r="N21" i="3"/>
  <c r="P19" i="3"/>
  <c r="Q51" i="3"/>
  <c r="I51" i="3"/>
  <c r="I52" i="3" s="1"/>
  <c r="I58" i="3" s="1"/>
  <c r="I61" i="3" s="1"/>
  <c r="I62" i="3" s="1"/>
  <c r="Q21" i="3"/>
  <c r="Q22" i="3" s="1"/>
  <c r="R51" i="3"/>
  <c r="R52" i="3" s="1"/>
  <c r="R58" i="3" s="1"/>
  <c r="R61" i="3" s="1"/>
  <c r="R62" i="3" s="1"/>
  <c r="C51" i="3"/>
  <c r="N50" i="3"/>
  <c r="P50" i="3" s="1"/>
  <c r="E56" i="3"/>
  <c r="E57" i="3" s="1"/>
  <c r="T57" i="3" s="1"/>
  <c r="C17" i="3"/>
  <c r="C19" i="3" s="1"/>
  <c r="C21" i="3" s="1"/>
  <c r="C22" i="3" s="1"/>
  <c r="C52" i="3" s="1"/>
  <c r="C58" i="3" s="1"/>
  <c r="P25" i="3"/>
  <c r="T25" i="3" s="1"/>
  <c r="P41" i="3"/>
  <c r="T41" i="3" s="1"/>
  <c r="B51" i="3"/>
  <c r="N51" i="3"/>
  <c r="P51" i="3" s="1"/>
  <c r="T13" i="3"/>
  <c r="P17" i="3"/>
  <c r="T30" i="3"/>
  <c r="J50" i="3"/>
  <c r="J51" i="3" s="1"/>
  <c r="P12" i="3"/>
  <c r="T12" i="3" s="1"/>
  <c r="E43" i="3"/>
  <c r="E50" i="3" s="1"/>
  <c r="L17" i="3"/>
  <c r="L19" i="3" s="1"/>
  <c r="L21" i="3" s="1"/>
  <c r="L22" i="3" s="1"/>
  <c r="L52" i="3" s="1"/>
  <c r="L58" i="3" s="1"/>
  <c r="L61" i="3" s="1"/>
  <c r="L62" i="3" s="1"/>
  <c r="E32" i="3"/>
  <c r="T46" i="3"/>
  <c r="P54" i="3"/>
  <c r="T54" i="3" s="1"/>
  <c r="N57" i="3"/>
  <c r="P57" i="3" s="1"/>
  <c r="B51" i="2"/>
  <c r="B33" i="1"/>
  <c r="B34" i="1" s="1"/>
  <c r="B82" i="1"/>
  <c r="B83" i="1" s="1"/>
  <c r="D52" i="3" l="1"/>
  <c r="D58" i="3" s="1"/>
  <c r="D61" i="3" s="1"/>
  <c r="D62" i="3" s="1"/>
  <c r="T43" i="3"/>
  <c r="J52" i="3"/>
  <c r="J58" i="3" s="1"/>
  <c r="J61" i="3" s="1"/>
  <c r="J62" i="3" s="1"/>
  <c r="G52" i="3"/>
  <c r="G58" i="3" s="1"/>
  <c r="G61" i="3" s="1"/>
  <c r="G62" i="3" s="1"/>
  <c r="M52" i="3"/>
  <c r="M58" i="3" s="1"/>
  <c r="M61" i="3" s="1"/>
  <c r="M62" i="3" s="1"/>
  <c r="T50" i="3"/>
  <c r="E51" i="3"/>
  <c r="E52" i="3" s="1"/>
  <c r="E58" i="3" s="1"/>
  <c r="E61" i="3" s="1"/>
  <c r="E62" i="3" s="1"/>
  <c r="Q52" i="3"/>
  <c r="Q58" i="3" s="1"/>
  <c r="Q61" i="3" s="1"/>
  <c r="Q62" i="3" s="1"/>
  <c r="C61" i="3"/>
  <c r="C62" i="3" s="1"/>
  <c r="B22" i="3"/>
  <c r="P21" i="3"/>
  <c r="T21" i="3" s="1"/>
  <c r="N22" i="3"/>
  <c r="T32" i="3"/>
  <c r="T19" i="3"/>
  <c r="T17" i="3"/>
  <c r="B76" i="1"/>
  <c r="B84" i="1" s="1"/>
  <c r="T51" i="3" l="1"/>
  <c r="P22" i="3"/>
  <c r="N52" i="3"/>
  <c r="T22" i="3"/>
  <c r="B52" i="3"/>
  <c r="B58" i="3" l="1"/>
  <c r="B61" i="3" s="1"/>
  <c r="B62" i="3" s="1"/>
  <c r="N58" i="3"/>
  <c r="P58" i="3" s="1"/>
  <c r="P52" i="3"/>
  <c r="T52" i="3" s="1"/>
  <c r="T58" i="3" l="1"/>
</calcChain>
</file>

<file path=xl/sharedStrings.xml><?xml version="1.0" encoding="utf-8"?>
<sst xmlns="http://schemas.openxmlformats.org/spreadsheetml/2006/main" count="282" uniqueCount="166">
  <si>
    <t>Total</t>
  </si>
  <si>
    <t>Revenue</t>
  </si>
  <si>
    <t xml:space="preserve">   Donations</t>
  </si>
  <si>
    <t xml:space="preserve">      Designated Sport Donation</t>
  </si>
  <si>
    <t xml:space="preserve">      General Fund Donations</t>
  </si>
  <si>
    <t xml:space="preserve">   Total Donations</t>
  </si>
  <si>
    <t xml:space="preserve">   Fundraising Income</t>
  </si>
  <si>
    <t xml:space="preserve">      Accrued Investment Income</t>
  </si>
  <si>
    <t xml:space="preserve">      Apparel Sales</t>
  </si>
  <si>
    <t xml:space="preserve">      Banner advertising</t>
  </si>
  <si>
    <t xml:space="preserve">      Cheer</t>
  </si>
  <si>
    <t xml:space="preserve">      Fall Ball (Baseball)</t>
  </si>
  <si>
    <t xml:space="preserve">      Firework Booth</t>
  </si>
  <si>
    <t xml:space="preserve">      Football Golf Tournament</t>
  </si>
  <si>
    <t xml:space="preserve">      Golf tournament</t>
  </si>
  <si>
    <t xml:space="preserve">      Snack Bar Income</t>
  </si>
  <si>
    <t xml:space="preserve">         B. Basketball</t>
  </si>
  <si>
    <t xml:space="preserve">         Football</t>
  </si>
  <si>
    <t xml:space="preserve">         G. Basketball</t>
  </si>
  <si>
    <t xml:space="preserve">      Total Snack Bar Income</t>
  </si>
  <si>
    <t xml:space="preserve">      Soccer Tournament Income</t>
  </si>
  <si>
    <t xml:space="preserve">      Vertical Raise Trust</t>
  </si>
  <si>
    <t xml:space="preserve">      Water Polo Tournament</t>
  </si>
  <si>
    <t xml:space="preserve">   Total Fundraising Income</t>
  </si>
  <si>
    <t xml:space="preserve">   Membership</t>
  </si>
  <si>
    <t xml:space="preserve">   Summer Program Income</t>
  </si>
  <si>
    <t xml:space="preserve">   Total Summer Program Income</t>
  </si>
  <si>
    <t>Total Revenue</t>
  </si>
  <si>
    <t>Gross Profit</t>
  </si>
  <si>
    <t>Expenditures</t>
  </si>
  <si>
    <t xml:space="preserve">   Administrative Expenses</t>
  </si>
  <si>
    <t xml:space="preserve">      Bank Charges</t>
  </si>
  <si>
    <t xml:space="preserve">      HUDL</t>
  </si>
  <si>
    <t xml:space="preserve">      Liability Insurance</t>
  </si>
  <si>
    <t xml:space="preserve">      Postage</t>
  </si>
  <si>
    <t xml:space="preserve">      Tax Return</t>
  </si>
  <si>
    <t xml:space="preserve">      Technology</t>
  </si>
  <si>
    <t xml:space="preserve">   Total Administrative Expenses</t>
  </si>
  <si>
    <t xml:space="preserve">   Fundraising Expenses</t>
  </si>
  <si>
    <t xml:space="preserve">      Banner purchases</t>
  </si>
  <si>
    <t xml:space="preserve">      Cheer Pasta Feed</t>
  </si>
  <si>
    <t xml:space="preserve">      Fireworks Booth</t>
  </si>
  <si>
    <t xml:space="preserve">      Golf Tournament</t>
  </si>
  <si>
    <t xml:space="preserve">      Jack Scott Tournament costs</t>
  </si>
  <si>
    <t xml:space="preserve">      Snack Bar Expense</t>
  </si>
  <si>
    <t xml:space="preserve">   Total Fundraising Expenses</t>
  </si>
  <si>
    <t xml:space="preserve">   Sports Team Expenses</t>
  </si>
  <si>
    <t xml:space="preserve">      Athletic Equipment</t>
  </si>
  <si>
    <t xml:space="preserve">      Capital Equipment</t>
  </si>
  <si>
    <t xml:space="preserve">      Coach Training/Certifications</t>
  </si>
  <si>
    <t xml:space="preserve">      Coaches Apparel</t>
  </si>
  <si>
    <t xml:space="preserve">      Field Maintenance</t>
  </si>
  <si>
    <t xml:space="preserve">      General Programs Expense</t>
  </si>
  <si>
    <t xml:space="preserve">      Senior gifts</t>
  </si>
  <si>
    <t xml:space="preserve">      Stipends</t>
  </si>
  <si>
    <t xml:space="preserve">         Athletic Trainer</t>
  </si>
  <si>
    <t xml:space="preserve">         Direct Pay (1099)</t>
  </si>
  <si>
    <t xml:space="preserve">      Total Stipends</t>
  </si>
  <si>
    <t xml:space="preserve">      Supplies</t>
  </si>
  <si>
    <t xml:space="preserve">      Team Awards/Celebration</t>
  </si>
  <si>
    <t xml:space="preserve">      Team Camps</t>
  </si>
  <si>
    <t xml:space="preserve">      Team Meals</t>
  </si>
  <si>
    <t xml:space="preserve">      Team Travel</t>
  </si>
  <si>
    <t xml:space="preserve">      Team Uniforms</t>
  </si>
  <si>
    <t xml:space="preserve">         Player Packs</t>
  </si>
  <si>
    <t xml:space="preserve">      Total Team Uniforms</t>
  </si>
  <si>
    <t xml:space="preserve">      Tournament Fees</t>
  </si>
  <si>
    <t xml:space="preserve">   Total Sports Team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</si>
  <si>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</si>
  <si>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</si>
  <si>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</si>
  <si>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</si>
  <si>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</si>
  <si>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</si>
  <si>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</si>
  <si>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</si>
  <si>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</si>
  <si>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Revenue</t>
  </si>
  <si>
    <t>Tuesday, Jan 07, 2025 10:48:30 PM GMT-8 - Cash Basis</t>
  </si>
  <si>
    <t>Rio Americano Athletic Boosters, Inc.</t>
  </si>
  <si>
    <t>Statement of Activity</t>
  </si>
  <si>
    <t>June - December, 2024</t>
  </si>
  <si>
    <t>December 2024</t>
  </si>
  <si>
    <t>Tuesday, Jan 07, 2025 10:49:50 PM GMT-8 - Cash Basis</t>
  </si>
  <si>
    <t>Baseball</t>
  </si>
  <si>
    <t>Basketball - Boys</t>
  </si>
  <si>
    <t>Basketball - Girls</t>
  </si>
  <si>
    <t>Cheer</t>
  </si>
  <si>
    <t>Cross Country</t>
  </si>
  <si>
    <t>Field of Dreams</t>
  </si>
  <si>
    <t>Football</t>
  </si>
  <si>
    <t>Golf - Girls</t>
  </si>
  <si>
    <t>Lacrosse - Girls</t>
  </si>
  <si>
    <t>Soccer - Boys</t>
  </si>
  <si>
    <t>Soccer - Girls</t>
  </si>
  <si>
    <t>Tennis - Boys</t>
  </si>
  <si>
    <t>Unrestricted - General Fund</t>
  </si>
  <si>
    <t>Administration</t>
  </si>
  <si>
    <t>Total Unrestricted - General Fund</t>
  </si>
  <si>
    <t>Volleyball - Girls</t>
  </si>
  <si>
    <t>Water Polo- Boys</t>
  </si>
  <si>
    <t>Wrestling</t>
  </si>
  <si>
    <t>TOTAL</t>
  </si>
  <si>
    <t>Beginning Balance</t>
  </si>
  <si>
    <t>Covered by RAAB General</t>
  </si>
  <si>
    <t>Adjustment to last month's balance</t>
  </si>
  <si>
    <t>New Ending Balance</t>
  </si>
  <si>
    <t>Statement of Financial Position</t>
  </si>
  <si>
    <t>As of December 31, 2024</t>
  </si>
  <si>
    <t>ASSETS</t>
  </si>
  <si>
    <t xml:space="preserve">   Current Assets</t>
  </si>
  <si>
    <t xml:space="preserve">      Bank Accounts</t>
  </si>
  <si>
    <t xml:space="preserve">         Bank of America Checking 2</t>
  </si>
  <si>
    <t xml:space="preserve">         BofA Savings 2</t>
  </si>
  <si>
    <t xml:space="preserve">         CD Investments</t>
  </si>
  <si>
    <t xml:space="preserve">            CD Investment - Maturity 2.16.25</t>
  </si>
  <si>
    <t xml:space="preserve">            CD Investment - Maturity 7.16.25</t>
  </si>
  <si>
    <t xml:space="preserve">            CD Investment - Maturity 8.16.25</t>
  </si>
  <si>
    <t xml:space="preserve">         Total CD Investments</t>
  </si>
  <si>
    <t xml:space="preserve">         PayPal - RAAB</t>
  </si>
  <si>
    <t xml:space="preserve">      Total Bank Accounts</t>
  </si>
  <si>
    <t xml:space="preserve">   Total Current Assets</t>
  </si>
  <si>
    <t>TOTAL ASSETS</t>
  </si>
  <si>
    <t>LIABILITIES AND EQUITY</t>
  </si>
  <si>
    <t xml:space="preserve">   Liabilities</t>
  </si>
  <si>
    <t xml:space="preserve">   Total Liabilities</t>
  </si>
  <si>
    <t xml:space="preserve">   Equity</t>
  </si>
  <si>
    <t xml:space="preserve">      Restricted Net Assets</t>
  </si>
  <si>
    <t xml:space="preserve">         Field of Dreams</t>
  </si>
  <si>
    <t xml:space="preserve">         Jack Scott Tournament</t>
  </si>
  <si>
    <t xml:space="preserve">         Team Funds</t>
  </si>
  <si>
    <t xml:space="preserve">            Athletic Director</t>
  </si>
  <si>
    <t xml:space="preserve">            Baseball</t>
  </si>
  <si>
    <t xml:space="preserve">            Basketball - Boys</t>
  </si>
  <si>
    <t xml:space="preserve">            Basketball - Girls</t>
  </si>
  <si>
    <t xml:space="preserve">            Cheer</t>
  </si>
  <si>
    <t xml:space="preserve">            Cross Country</t>
  </si>
  <si>
    <t xml:space="preserve">            Flag Football</t>
  </si>
  <si>
    <t xml:space="preserve">            Football</t>
  </si>
  <si>
    <t xml:space="preserve">            Golf - Boys</t>
  </si>
  <si>
    <t xml:space="preserve">            Golf - Girls</t>
  </si>
  <si>
    <t xml:space="preserve">            Lacrosse - Boys</t>
  </si>
  <si>
    <t xml:space="preserve">            Lacrosse - Girls</t>
  </si>
  <si>
    <t xml:space="preserve">            Soccer - Boys</t>
  </si>
  <si>
    <t xml:space="preserve">            Soccer - Girls</t>
  </si>
  <si>
    <t xml:space="preserve">            Softball</t>
  </si>
  <si>
    <t xml:space="preserve">            Swim &amp; Dive</t>
  </si>
  <si>
    <t xml:space="preserve">            Tennis - Boys</t>
  </si>
  <si>
    <t xml:space="preserve">            Tennis - Girls</t>
  </si>
  <si>
    <t xml:space="preserve">            Track &amp; Field</t>
  </si>
  <si>
    <t xml:space="preserve">            Volleyball - Boys</t>
  </si>
  <si>
    <t xml:space="preserve">            Volleyball - Girls</t>
  </si>
  <si>
    <t xml:space="preserve">            Water Polo - Boys</t>
  </si>
  <si>
    <t xml:space="preserve">               Water Polo - Boys - Scoreboard</t>
  </si>
  <si>
    <t xml:space="preserve">            Total Water Polo - Boys</t>
  </si>
  <si>
    <t xml:space="preserve">            Water Polo - Girls</t>
  </si>
  <si>
    <t xml:space="preserve">               Water Polo - Girls - Scoreboard</t>
  </si>
  <si>
    <t xml:space="preserve">            Total Water Polo - Girls</t>
  </si>
  <si>
    <t xml:space="preserve">            Wrestling</t>
  </si>
  <si>
    <t xml:space="preserve">         Total Team Funds</t>
  </si>
  <si>
    <t xml:space="preserve">      Total Restricted Net Assets</t>
  </si>
  <si>
    <t xml:space="preserve">      Unrestricted Net Assets</t>
  </si>
  <si>
    <t xml:space="preserve">      Net Revenue</t>
  </si>
  <si>
    <t xml:space="preserve">   Total Equity</t>
  </si>
  <si>
    <t>TOTAL LIABILITIES AND EQUITY</t>
  </si>
  <si>
    <t>Tuesday, Jan 07, 2025 11:11:33 PM GMT-8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</si>
</sst>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44" fontId="7" fillId="0" borderId="4" xfId="1" applyFont="1" applyBorder="1" applyAlignment="1">
      <alignment horizontal="right" wrapText="1"/>
    </xf>
    <xf numFmtId="44" fontId="8" fillId="0" borderId="4" xfId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4" xfId="0" applyFont="1" applyBorder="1"/>
    <xf numFmtId="43" fontId="7" fillId="0" borderId="4" xfId="1" applyNumberFormat="1" applyFont="1" applyBorder="1" applyAlignment="1">
      <alignment horizontal="right" wrapText="1"/>
    </xf>
    <xf numFmtId="43" fontId="7" fillId="0" borderId="4" xfId="1" applyNumberFormat="1" applyFont="1" applyBorder="1" applyAlignment="1">
      <alignment wrapText="1"/>
    </xf>
    <xf numFmtId="43" fontId="7" fillId="0" borderId="5" xfId="0" applyNumberFormat="1" applyFont="1" applyBorder="1" applyAlignment="1">
      <alignment horizontal="right" wrapText="1"/>
    </xf>
    <xf numFmtId="43" fontId="7" fillId="0" borderId="4" xfId="0" applyNumberFormat="1" applyFont="1" applyBorder="1" applyAlignment="1">
      <alignment wrapText="1"/>
    </xf>
    <xf numFmtId="43" fontId="8" fillId="0" borderId="4" xfId="1" applyNumberFormat="1" applyFont="1" applyBorder="1" applyAlignment="1">
      <alignment horizontal="right" wrapText="1"/>
    </xf>
    <xf numFmtId="43" fontId="8" fillId="0" borderId="4" xfId="1" applyNumberFormat="1" applyFont="1" applyBorder="1" applyAlignment="1">
      <alignment wrapText="1"/>
    </xf>
    <xf numFmtId="43" fontId="8" fillId="0" borderId="5" xfId="0" applyNumberFormat="1" applyFont="1" applyBorder="1" applyAlignment="1">
      <alignment horizontal="right" wrapText="1"/>
    </xf>
    <xf numFmtId="43" fontId="8" fillId="0" borderId="4" xfId="0" applyNumberFormat="1" applyFont="1" applyBorder="1" applyAlignment="1">
      <alignment wrapText="1"/>
    </xf>
    <xf numFmtId="43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CA24-4990-4972-94DA-83506AEB6767}">
  <dimension ref="A1:B65"/>
  <sheetViews>
    <sheetView tabSelected="1" workbookViewId="0">
      <selection activeCell="M14" sqref="M14"/>
    </sheetView>
  </sheetViews>
  <sheetFormatPr defaultRowHeight="15" x14ac:dyDescent="0.25"/>
  <cols>
    <col min="1" max="1" width="40.42578125" customWidth="1"/>
    <col min="2" max="2" width="32.7109375" customWidth="1"/>
  </cols>
  <sheetData>
    <row r="1" spans="1:2" ht="18" x14ac:dyDescent="0.25">
      <c r="A1" s="27" t="s">
        <v>79</v>
      </c>
      <c r="B1" s="28"/>
    </row>
    <row r="2" spans="1:2" ht="18" x14ac:dyDescent="0.25">
      <c r="A2" s="27" t="s">
        <v>107</v>
      </c>
      <c r="B2" s="28"/>
    </row>
    <row r="3" spans="1:2" x14ac:dyDescent="0.25">
      <c r="A3" s="29" t="s">
        <v>108</v>
      </c>
      <c r="B3" s="28"/>
    </row>
    <row r="5" spans="1:2" x14ac:dyDescent="0.25">
      <c r="A5" s="1"/>
      <c r="B5" s="2" t="s">
        <v>0</v>
      </c>
    </row>
    <row r="6" spans="1:2" x14ac:dyDescent="0.25">
      <c r="A6" s="3" t="s">
        <v>109</v>
      </c>
      <c r="B6" s="4"/>
    </row>
    <row r="7" spans="1:2" x14ac:dyDescent="0.25">
      <c r="A7" s="3" t="s">
        <v>110</v>
      </c>
      <c r="B7" s="4"/>
    </row>
    <row r="8" spans="1:2" x14ac:dyDescent="0.25">
      <c r="A8" s="3" t="s">
        <v>111</v>
      </c>
      <c r="B8" s="4"/>
    </row>
    <row r="9" spans="1:2" x14ac:dyDescent="0.25">
      <c r="A9" s="3" t="s">
        <v>112</v>
      </c>
      <c r="B9" s="5">
        <f>254784.55</f>
        <v>254784.55</v>
      </c>
    </row>
    <row r="10" spans="1:2" x14ac:dyDescent="0.25">
      <c r="A10" s="3" t="s">
        <v>113</v>
      </c>
      <c r="B10" s="5">
        <f>34736.17</f>
        <v>34736.17</v>
      </c>
    </row>
    <row r="11" spans="1:2" x14ac:dyDescent="0.25">
      <c r="A11" s="3" t="s">
        <v>114</v>
      </c>
      <c r="B11" s="5">
        <f>0</f>
        <v>0</v>
      </c>
    </row>
    <row r="12" spans="1:2" x14ac:dyDescent="0.25">
      <c r="A12" s="3" t="s">
        <v>115</v>
      </c>
      <c r="B12" s="5">
        <f>66343.32</f>
        <v>66343.320000000007</v>
      </c>
    </row>
    <row r="13" spans="1:2" x14ac:dyDescent="0.25">
      <c r="A13" s="3" t="s">
        <v>116</v>
      </c>
      <c r="B13" s="5">
        <f>66144.15</f>
        <v>66144.149999999994</v>
      </c>
    </row>
    <row r="14" spans="1:2" x14ac:dyDescent="0.25">
      <c r="A14" s="3" t="s">
        <v>117</v>
      </c>
      <c r="B14" s="5">
        <f>66315.63</f>
        <v>66315.63</v>
      </c>
    </row>
    <row r="15" spans="1:2" x14ac:dyDescent="0.25">
      <c r="A15" s="3" t="s">
        <v>118</v>
      </c>
      <c r="B15" s="7">
        <f>(((B11)+(B12))+(B13))+(B14)</f>
        <v>198803.1</v>
      </c>
    </row>
    <row r="16" spans="1:2" x14ac:dyDescent="0.25">
      <c r="A16" s="3" t="s">
        <v>119</v>
      </c>
      <c r="B16" s="5">
        <f>10</f>
        <v>10</v>
      </c>
    </row>
    <row r="17" spans="1:2" x14ac:dyDescent="0.25">
      <c r="A17" s="3" t="s">
        <v>120</v>
      </c>
      <c r="B17" s="7">
        <f>(((B9)+(B10))+(B15))+(B16)</f>
        <v>488333.81999999995</v>
      </c>
    </row>
    <row r="18" spans="1:2" x14ac:dyDescent="0.25">
      <c r="A18" s="3" t="s">
        <v>121</v>
      </c>
      <c r="B18" s="7">
        <f>B17</f>
        <v>488333.81999999995</v>
      </c>
    </row>
    <row r="19" spans="1:2" x14ac:dyDescent="0.25">
      <c r="A19" s="3" t="s">
        <v>122</v>
      </c>
      <c r="B19" s="7">
        <f>B18</f>
        <v>488333.81999999995</v>
      </c>
    </row>
    <row r="20" spans="1:2" x14ac:dyDescent="0.25">
      <c r="A20" s="3" t="s">
        <v>123</v>
      </c>
      <c r="B20" s="4"/>
    </row>
    <row r="21" spans="1:2" x14ac:dyDescent="0.25">
      <c r="A21" s="3" t="s">
        <v>124</v>
      </c>
      <c r="B21" s="4"/>
    </row>
    <row r="22" spans="1:2" x14ac:dyDescent="0.25">
      <c r="A22" s="3" t="s">
        <v>125</v>
      </c>
      <c r="B22" s="4"/>
    </row>
    <row r="23" spans="1:2" x14ac:dyDescent="0.25">
      <c r="A23" s="3" t="s">
        <v>126</v>
      </c>
      <c r="B23" s="4"/>
    </row>
    <row r="24" spans="1:2" x14ac:dyDescent="0.25">
      <c r="A24" s="3" t="s">
        <v>127</v>
      </c>
      <c r="B24" s="4"/>
    </row>
    <row r="25" spans="1:2" x14ac:dyDescent="0.25">
      <c r="A25" s="3" t="s">
        <v>128</v>
      </c>
      <c r="B25" s="5">
        <f>13128.71</f>
        <v>13128.71</v>
      </c>
    </row>
    <row r="26" spans="1:2" x14ac:dyDescent="0.25">
      <c r="A26" s="3" t="s">
        <v>129</v>
      </c>
      <c r="B26" s="5">
        <f>2000</f>
        <v>2000</v>
      </c>
    </row>
    <row r="27" spans="1:2" x14ac:dyDescent="0.25">
      <c r="A27" s="3" t="s">
        <v>130</v>
      </c>
      <c r="B27" s="4"/>
    </row>
    <row r="28" spans="1:2" x14ac:dyDescent="0.25">
      <c r="A28" s="3" t="s">
        <v>131</v>
      </c>
      <c r="B28" s="5">
        <f>0</f>
        <v>0</v>
      </c>
    </row>
    <row r="29" spans="1:2" x14ac:dyDescent="0.25">
      <c r="A29" s="3" t="s">
        <v>132</v>
      </c>
      <c r="B29" s="5">
        <f>18139.73</f>
        <v>18139.73</v>
      </c>
    </row>
    <row r="30" spans="1:2" x14ac:dyDescent="0.25">
      <c r="A30" s="3" t="s">
        <v>133</v>
      </c>
      <c r="B30" s="5">
        <f>5597</f>
        <v>5597</v>
      </c>
    </row>
    <row r="31" spans="1:2" x14ac:dyDescent="0.25">
      <c r="A31" s="3" t="s">
        <v>134</v>
      </c>
      <c r="B31" s="5">
        <f>4143.48</f>
        <v>4143.4799999999996</v>
      </c>
    </row>
    <row r="32" spans="1:2" x14ac:dyDescent="0.25">
      <c r="A32" s="3" t="s">
        <v>135</v>
      </c>
      <c r="B32" s="5">
        <f>-719.91</f>
        <v>-719.91</v>
      </c>
    </row>
    <row r="33" spans="1:2" x14ac:dyDescent="0.25">
      <c r="A33" s="3" t="s">
        <v>136</v>
      </c>
      <c r="B33" s="5">
        <f>-1451.82</f>
        <v>-1451.82</v>
      </c>
    </row>
    <row r="34" spans="1:2" x14ac:dyDescent="0.25">
      <c r="A34" s="3" t="s">
        <v>137</v>
      </c>
      <c r="B34" s="5">
        <f>6491.41</f>
        <v>6491.41</v>
      </c>
    </row>
    <row r="35" spans="1:2" x14ac:dyDescent="0.25">
      <c r="A35" s="3" t="s">
        <v>138</v>
      </c>
      <c r="B35" s="5">
        <f>4285.04</f>
        <v>4285.04</v>
      </c>
    </row>
    <row r="36" spans="1:2" x14ac:dyDescent="0.25">
      <c r="A36" s="3" t="s">
        <v>139</v>
      </c>
      <c r="B36" s="5">
        <f>0</f>
        <v>0</v>
      </c>
    </row>
    <row r="37" spans="1:2" x14ac:dyDescent="0.25">
      <c r="A37" s="3" t="s">
        <v>140</v>
      </c>
      <c r="B37" s="5">
        <f>-439.82</f>
        <v>-439.82</v>
      </c>
    </row>
    <row r="38" spans="1:2" x14ac:dyDescent="0.25">
      <c r="A38" s="3" t="s">
        <v>141</v>
      </c>
      <c r="B38" s="5">
        <f>1901.27</f>
        <v>1901.27</v>
      </c>
    </row>
    <row r="39" spans="1:2" x14ac:dyDescent="0.25">
      <c r="A39" s="3" t="s">
        <v>142</v>
      </c>
      <c r="B39" s="5">
        <f>9581.14</f>
        <v>9581.14</v>
      </c>
    </row>
    <row r="40" spans="1:2" x14ac:dyDescent="0.25">
      <c r="A40" s="3" t="s">
        <v>143</v>
      </c>
      <c r="B40" s="5">
        <f>173.61</f>
        <v>173.61</v>
      </c>
    </row>
    <row r="41" spans="1:2" x14ac:dyDescent="0.25">
      <c r="A41" s="3" t="s">
        <v>144</v>
      </c>
      <c r="B41" s="5">
        <f>16123.14</f>
        <v>16123.14</v>
      </c>
    </row>
    <row r="42" spans="1:2" x14ac:dyDescent="0.25">
      <c r="A42" s="3" t="s">
        <v>145</v>
      </c>
      <c r="B42" s="5">
        <f>511.23</f>
        <v>511.23</v>
      </c>
    </row>
    <row r="43" spans="1:2" x14ac:dyDescent="0.25">
      <c r="A43" s="3" t="s">
        <v>146</v>
      </c>
      <c r="B43" s="5">
        <f>6671.76</f>
        <v>6671.76</v>
      </c>
    </row>
    <row r="44" spans="1:2" x14ac:dyDescent="0.25">
      <c r="A44" s="3" t="s">
        <v>147</v>
      </c>
      <c r="B44" s="5">
        <f>1105.9</f>
        <v>1105.9000000000001</v>
      </c>
    </row>
    <row r="45" spans="1:2" x14ac:dyDescent="0.25">
      <c r="A45" s="3" t="s">
        <v>148</v>
      </c>
      <c r="B45" s="5">
        <f>3512.07</f>
        <v>3512.07</v>
      </c>
    </row>
    <row r="46" spans="1:2" x14ac:dyDescent="0.25">
      <c r="A46" s="3" t="s">
        <v>149</v>
      </c>
      <c r="B46" s="5">
        <f>4585.2</f>
        <v>4585.2</v>
      </c>
    </row>
    <row r="47" spans="1:2" x14ac:dyDescent="0.25">
      <c r="A47" s="3" t="s">
        <v>150</v>
      </c>
      <c r="B47" s="5">
        <f>2947.94</f>
        <v>2947.94</v>
      </c>
    </row>
    <row r="48" spans="1:2" x14ac:dyDescent="0.25">
      <c r="A48" s="3" t="s">
        <v>151</v>
      </c>
      <c r="B48" s="5">
        <f>3378.55</f>
        <v>3378.55</v>
      </c>
    </row>
    <row r="49" spans="1:2" x14ac:dyDescent="0.25">
      <c r="A49" s="3" t="s">
        <v>152</v>
      </c>
      <c r="B49" s="5">
        <f>6254.46</f>
        <v>6254.46</v>
      </c>
    </row>
    <row r="50" spans="1:2" x14ac:dyDescent="0.25">
      <c r="A50" s="3" t="s">
        <v>153</v>
      </c>
      <c r="B50" s="5">
        <f>3071.78</f>
        <v>3071.78</v>
      </c>
    </row>
    <row r="51" spans="1:2" x14ac:dyDescent="0.25">
      <c r="A51" s="3" t="s">
        <v>154</v>
      </c>
      <c r="B51" s="7">
        <f>(B49)+(B50)</f>
        <v>9326.24</v>
      </c>
    </row>
    <row r="52" spans="1:2" x14ac:dyDescent="0.25">
      <c r="A52" s="3" t="s">
        <v>155</v>
      </c>
      <c r="B52" s="5">
        <f>9598.38</f>
        <v>9598.3799999999992</v>
      </c>
    </row>
    <row r="53" spans="1:2" x14ac:dyDescent="0.25">
      <c r="A53" s="3" t="s">
        <v>156</v>
      </c>
      <c r="B53" s="5">
        <f>7366.49</f>
        <v>7366.49</v>
      </c>
    </row>
    <row r="54" spans="1:2" x14ac:dyDescent="0.25">
      <c r="A54" s="3" t="s">
        <v>157</v>
      </c>
      <c r="B54" s="7">
        <f>(B52)+(B53)</f>
        <v>16964.87</v>
      </c>
    </row>
    <row r="55" spans="1:2" x14ac:dyDescent="0.25">
      <c r="A55" s="3" t="s">
        <v>158</v>
      </c>
      <c r="B55" s="5">
        <f>-2102.61</f>
        <v>-2102.61</v>
      </c>
    </row>
    <row r="56" spans="1:2" x14ac:dyDescent="0.25">
      <c r="A56" s="3" t="s">
        <v>159</v>
      </c>
      <c r="B56" s="7">
        <f>((((((((((((((((((((((((B27)+(B28))+(B29))+(B30))+(B31))+(B32))+(B33))+(B34))+(B35))+(B36))+(B37))+(B38))+(B39))+(B40))+(B41))+(B42))+(B43))+(B44))+(B45))+(B46))+(B47))+(B48))+(B51))+(B54))+(B55)</f>
        <v>110725.42</v>
      </c>
    </row>
    <row r="57" spans="1:2" x14ac:dyDescent="0.25">
      <c r="A57" s="3" t="s">
        <v>160</v>
      </c>
      <c r="B57" s="7">
        <f>(((B24)+(B25))+(B26))+(B56)</f>
        <v>125854.13</v>
      </c>
    </row>
    <row r="58" spans="1:2" x14ac:dyDescent="0.25">
      <c r="A58" s="3" t="s">
        <v>161</v>
      </c>
      <c r="B58" s="5">
        <f>334443.64</f>
        <v>334443.64</v>
      </c>
    </row>
    <row r="59" spans="1:2" x14ac:dyDescent="0.25">
      <c r="A59" s="3" t="s">
        <v>162</v>
      </c>
      <c r="B59" s="5">
        <f>28036.05</f>
        <v>28036.05</v>
      </c>
    </row>
    <row r="60" spans="1:2" x14ac:dyDescent="0.25">
      <c r="A60" s="3" t="s">
        <v>163</v>
      </c>
      <c r="B60" s="7">
        <f>((B57)+(B58))+(B59)</f>
        <v>488333.82</v>
      </c>
    </row>
    <row r="61" spans="1:2" x14ac:dyDescent="0.25">
      <c r="A61" s="3" t="s">
        <v>164</v>
      </c>
      <c r="B61" s="7">
        <f>(B22)+(B60)</f>
        <v>488333.82</v>
      </c>
    </row>
    <row r="62" spans="1:2" x14ac:dyDescent="0.25">
      <c r="A62" s="3"/>
      <c r="B62" s="4"/>
    </row>
    <row r="65" spans="1:2" x14ac:dyDescent="0.25">
      <c r="A65" s="30" t="s">
        <v>165</v>
      </c>
      <c r="B65" s="28"/>
    </row>
  </sheetData>
  <mergeCells count="4">
    <mergeCell ref="A1:B1"/>
    <mergeCell ref="A2:B2"/>
    <mergeCell ref="A3:B3"/>
    <mergeCell ref="A65:B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8"/>
  <sheetViews>
    <sheetView workbookViewId="0">
      <selection activeCell="J10" sqref="J10"/>
    </sheetView>
  </sheetViews>
  <sheetFormatPr defaultRowHeight="15" x14ac:dyDescent="0.25"/>
  <cols>
    <col min="1" max="2" width="32.7109375" customWidth="1"/>
  </cols>
  <sheetData>
    <row r="1" spans="1:2" ht="18" x14ac:dyDescent="0.25">
      <c r="A1" s="27" t="s">
        <v>79</v>
      </c>
      <c r="B1" s="28"/>
    </row>
    <row r="2" spans="1:2" ht="18" x14ac:dyDescent="0.25">
      <c r="A2" s="27" t="s">
        <v>80</v>
      </c>
      <c r="B2" s="28"/>
    </row>
    <row r="3" spans="1:2" x14ac:dyDescent="0.25">
      <c r="A3" s="29" t="s">
        <v>81</v>
      </c>
      <c r="B3" s="28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29943.3</f>
        <v>29943.3</v>
      </c>
    </row>
    <row r="9" spans="1:2" x14ac:dyDescent="0.25">
      <c r="A9" s="3" t="s">
        <v>4</v>
      </c>
      <c r="B9" s="5">
        <f>1775.82</f>
        <v>1775.82</v>
      </c>
    </row>
    <row r="10" spans="1:2" x14ac:dyDescent="0.25">
      <c r="A10" s="3" t="s">
        <v>5</v>
      </c>
      <c r="B10" s="6">
        <f>((B7)+(B8))+(B9)</f>
        <v>31719.119999999999</v>
      </c>
    </row>
    <row r="11" spans="1:2" x14ac:dyDescent="0.25">
      <c r="A11" s="3" t="s">
        <v>6</v>
      </c>
      <c r="B11" s="5">
        <f>16023.59</f>
        <v>16023.59</v>
      </c>
    </row>
    <row r="12" spans="1:2" x14ac:dyDescent="0.25">
      <c r="A12" s="3" t="s">
        <v>7</v>
      </c>
      <c r="B12" s="5">
        <f>3803.1</f>
        <v>3803.1</v>
      </c>
    </row>
    <row r="13" spans="1:2" x14ac:dyDescent="0.25">
      <c r="A13" s="3" t="s">
        <v>8</v>
      </c>
      <c r="B13" s="5">
        <f>5197.16</f>
        <v>5197.16</v>
      </c>
    </row>
    <row r="14" spans="1:2" x14ac:dyDescent="0.25">
      <c r="A14" s="3" t="s">
        <v>9</v>
      </c>
      <c r="B14" s="5">
        <f>1200</f>
        <v>1200</v>
      </c>
    </row>
    <row r="15" spans="1:2" x14ac:dyDescent="0.25">
      <c r="A15" s="3" t="s">
        <v>10</v>
      </c>
      <c r="B15" s="5">
        <f>15814.23</f>
        <v>15814.23</v>
      </c>
    </row>
    <row r="16" spans="1:2" x14ac:dyDescent="0.25">
      <c r="A16" s="3" t="s">
        <v>11</v>
      </c>
      <c r="B16" s="5">
        <f>12975</f>
        <v>12975</v>
      </c>
    </row>
    <row r="17" spans="1:2" x14ac:dyDescent="0.25">
      <c r="A17" s="3" t="s">
        <v>12</v>
      </c>
      <c r="B17" s="5">
        <f>56167.67</f>
        <v>56167.67</v>
      </c>
    </row>
    <row r="18" spans="1:2" x14ac:dyDescent="0.25">
      <c r="A18" s="3" t="s">
        <v>13</v>
      </c>
      <c r="B18" s="5">
        <f>22410.17</f>
        <v>22410.17</v>
      </c>
    </row>
    <row r="19" spans="1:2" x14ac:dyDescent="0.25">
      <c r="A19" s="3" t="s">
        <v>14</v>
      </c>
      <c r="B19" s="5">
        <f>60</f>
        <v>60</v>
      </c>
    </row>
    <row r="20" spans="1:2" x14ac:dyDescent="0.25">
      <c r="A20" s="3" t="s">
        <v>15</v>
      </c>
      <c r="B20" s="5">
        <f>534.07</f>
        <v>534.07000000000005</v>
      </c>
    </row>
    <row r="21" spans="1:2" x14ac:dyDescent="0.25">
      <c r="A21" s="3" t="s">
        <v>16</v>
      </c>
      <c r="B21" s="5">
        <f>1235.41</f>
        <v>1235.4100000000001</v>
      </c>
    </row>
    <row r="22" spans="1:2" x14ac:dyDescent="0.25">
      <c r="A22" s="3" t="s">
        <v>17</v>
      </c>
      <c r="B22" s="5">
        <f>11694.97</f>
        <v>11694.97</v>
      </c>
    </row>
    <row r="23" spans="1:2" x14ac:dyDescent="0.25">
      <c r="A23" s="3" t="s">
        <v>18</v>
      </c>
      <c r="B23" s="5">
        <f>525.95</f>
        <v>525.95000000000005</v>
      </c>
    </row>
    <row r="24" spans="1:2" x14ac:dyDescent="0.25">
      <c r="A24" s="3" t="s">
        <v>19</v>
      </c>
      <c r="B24" s="6">
        <f>(((B20)+(B21))+(B22))+(B23)</f>
        <v>13990.4</v>
      </c>
    </row>
    <row r="25" spans="1:2" x14ac:dyDescent="0.25">
      <c r="A25" s="3" t="s">
        <v>20</v>
      </c>
      <c r="B25" s="5">
        <f>2125</f>
        <v>2125</v>
      </c>
    </row>
    <row r="26" spans="1:2" x14ac:dyDescent="0.25">
      <c r="A26" s="3" t="s">
        <v>21</v>
      </c>
      <c r="B26" s="5">
        <f>35422.09</f>
        <v>35422.089999999997</v>
      </c>
    </row>
    <row r="27" spans="1:2" x14ac:dyDescent="0.25">
      <c r="A27" s="3" t="s">
        <v>22</v>
      </c>
      <c r="B27" s="5">
        <f>1672.5</f>
        <v>1672.5</v>
      </c>
    </row>
    <row r="28" spans="1:2" x14ac:dyDescent="0.25">
      <c r="A28" s="3" t="s">
        <v>23</v>
      </c>
      <c r="B28" s="6">
        <f>((((((((((((B11)+(B12))+(B13))+(B14))+(B15))+(B16))+(B17))+(B18))+(B19))+(B24))+(B25))+(B26))+(B27)</f>
        <v>186860.90999999997</v>
      </c>
    </row>
    <row r="29" spans="1:2" x14ac:dyDescent="0.25">
      <c r="A29" s="3" t="s">
        <v>24</v>
      </c>
      <c r="B29" s="5">
        <f>56471.31</f>
        <v>56471.31</v>
      </c>
    </row>
    <row r="30" spans="1:2" x14ac:dyDescent="0.25">
      <c r="A30" s="3" t="s">
        <v>25</v>
      </c>
      <c r="B30" s="5">
        <f>3811</f>
        <v>3811</v>
      </c>
    </row>
    <row r="31" spans="1:2" x14ac:dyDescent="0.25">
      <c r="A31" s="3" t="s">
        <v>10</v>
      </c>
      <c r="B31" s="5">
        <f>10200</f>
        <v>10200</v>
      </c>
    </row>
    <row r="32" spans="1:2" x14ac:dyDescent="0.25">
      <c r="A32" s="3" t="s">
        <v>26</v>
      </c>
      <c r="B32" s="6">
        <f>(B30)+(B31)</f>
        <v>14011</v>
      </c>
    </row>
    <row r="33" spans="1:2" x14ac:dyDescent="0.25">
      <c r="A33" s="3" t="s">
        <v>27</v>
      </c>
      <c r="B33" s="6">
        <f>(((B10)+(B28))+(B29))+(B32)</f>
        <v>289062.33999999997</v>
      </c>
    </row>
    <row r="34" spans="1:2" x14ac:dyDescent="0.25">
      <c r="A34" s="3" t="s">
        <v>28</v>
      </c>
      <c r="B34" s="6">
        <f>(B33)-(0)</f>
        <v>289062.33999999997</v>
      </c>
    </row>
    <row r="35" spans="1:2" x14ac:dyDescent="0.25">
      <c r="A35" s="3" t="s">
        <v>29</v>
      </c>
      <c r="B35" s="4"/>
    </row>
    <row r="36" spans="1:2" x14ac:dyDescent="0.25">
      <c r="A36" s="3" t="s">
        <v>30</v>
      </c>
      <c r="B36" s="5">
        <f>1412.63</f>
        <v>1412.63</v>
      </c>
    </row>
    <row r="37" spans="1:2" x14ac:dyDescent="0.25">
      <c r="A37" s="3" t="s">
        <v>31</v>
      </c>
      <c r="B37" s="5">
        <f>23.99</f>
        <v>23.99</v>
      </c>
    </row>
    <row r="38" spans="1:2" x14ac:dyDescent="0.25">
      <c r="A38" s="3" t="s">
        <v>32</v>
      </c>
      <c r="B38" s="5">
        <f>9500</f>
        <v>9500</v>
      </c>
    </row>
    <row r="39" spans="1:2" x14ac:dyDescent="0.25">
      <c r="A39" s="3" t="s">
        <v>33</v>
      </c>
      <c r="B39" s="5">
        <f>5548.4</f>
        <v>5548.4</v>
      </c>
    </row>
    <row r="40" spans="1:2" x14ac:dyDescent="0.25">
      <c r="A40" s="3" t="s">
        <v>34</v>
      </c>
      <c r="B40" s="5">
        <f>119.35</f>
        <v>119.35</v>
      </c>
    </row>
    <row r="41" spans="1:2" x14ac:dyDescent="0.25">
      <c r="A41" s="3" t="s">
        <v>35</v>
      </c>
      <c r="B41" s="5">
        <f>1900</f>
        <v>1900</v>
      </c>
    </row>
    <row r="42" spans="1:2" x14ac:dyDescent="0.25">
      <c r="A42" s="3" t="s">
        <v>36</v>
      </c>
      <c r="B42" s="5">
        <f>675</f>
        <v>675</v>
      </c>
    </row>
    <row r="43" spans="1:2" x14ac:dyDescent="0.25">
      <c r="A43" s="3" t="s">
        <v>37</v>
      </c>
      <c r="B43" s="6">
        <f>((((((B36)+(B37))+(B38))+(B39))+(B40))+(B41))+(B42)</f>
        <v>19179.37</v>
      </c>
    </row>
    <row r="44" spans="1:2" x14ac:dyDescent="0.25">
      <c r="A44" s="3" t="s">
        <v>38</v>
      </c>
      <c r="B44" s="5">
        <f>1152</f>
        <v>1152</v>
      </c>
    </row>
    <row r="45" spans="1:2" x14ac:dyDescent="0.25">
      <c r="A45" s="3" t="s">
        <v>39</v>
      </c>
      <c r="B45" s="5">
        <f>392.43</f>
        <v>392.43</v>
      </c>
    </row>
    <row r="46" spans="1:2" x14ac:dyDescent="0.25">
      <c r="A46" s="3" t="s">
        <v>40</v>
      </c>
      <c r="B46" s="5">
        <f>642.43</f>
        <v>642.42999999999995</v>
      </c>
    </row>
    <row r="47" spans="1:2" x14ac:dyDescent="0.25">
      <c r="A47" s="3" t="s">
        <v>41</v>
      </c>
      <c r="B47" s="5">
        <f>12086.71</f>
        <v>12086.71</v>
      </c>
    </row>
    <row r="48" spans="1:2" x14ac:dyDescent="0.25">
      <c r="A48" s="3" t="s">
        <v>13</v>
      </c>
      <c r="B48" s="5">
        <f>8587.98</f>
        <v>8587.98</v>
      </c>
    </row>
    <row r="49" spans="1:2" x14ac:dyDescent="0.25">
      <c r="A49" s="3" t="s">
        <v>42</v>
      </c>
      <c r="B49" s="5">
        <f>43.1</f>
        <v>43.1</v>
      </c>
    </row>
    <row r="50" spans="1:2" x14ac:dyDescent="0.25">
      <c r="A50" s="3" t="s">
        <v>43</v>
      </c>
      <c r="B50" s="5">
        <f>27.19</f>
        <v>27.19</v>
      </c>
    </row>
    <row r="51" spans="1:2" x14ac:dyDescent="0.25">
      <c r="A51" s="3" t="s">
        <v>44</v>
      </c>
      <c r="B51" s="5">
        <f>4204.09</f>
        <v>4204.09</v>
      </c>
    </row>
    <row r="52" spans="1:2" x14ac:dyDescent="0.25">
      <c r="A52" s="3" t="s">
        <v>45</v>
      </c>
      <c r="B52" s="6">
        <f>(((((((B44)+(B45))+(B46))+(B47))+(B48))+(B49))+(B50))+(B51)</f>
        <v>27135.929999999997</v>
      </c>
    </row>
    <row r="53" spans="1:2" x14ac:dyDescent="0.25">
      <c r="A53" s="3" t="s">
        <v>46</v>
      </c>
      <c r="B53" s="4"/>
    </row>
    <row r="54" spans="1:2" x14ac:dyDescent="0.25">
      <c r="A54" s="3" t="s">
        <v>47</v>
      </c>
      <c r="B54" s="5">
        <f>16110.25</f>
        <v>16110.25</v>
      </c>
    </row>
    <row r="55" spans="1:2" x14ac:dyDescent="0.25">
      <c r="A55" s="3" t="s">
        <v>48</v>
      </c>
      <c r="B55" s="5">
        <f>30832.14</f>
        <v>30832.14</v>
      </c>
    </row>
    <row r="56" spans="1:2" x14ac:dyDescent="0.25">
      <c r="A56" s="3" t="s">
        <v>49</v>
      </c>
      <c r="B56" s="5">
        <f>1024.99</f>
        <v>1024.99</v>
      </c>
    </row>
    <row r="57" spans="1:2" x14ac:dyDescent="0.25">
      <c r="A57" s="3" t="s">
        <v>50</v>
      </c>
      <c r="B57" s="5">
        <f>4945.66</f>
        <v>4945.66</v>
      </c>
    </row>
    <row r="58" spans="1:2" x14ac:dyDescent="0.25">
      <c r="A58" s="3" t="s">
        <v>51</v>
      </c>
      <c r="B58" s="5">
        <f>2948.57</f>
        <v>2948.57</v>
      </c>
    </row>
    <row r="59" spans="1:2" x14ac:dyDescent="0.25">
      <c r="A59" s="3" t="s">
        <v>52</v>
      </c>
      <c r="B59" s="5">
        <f>5499.1</f>
        <v>5499.1</v>
      </c>
    </row>
    <row r="60" spans="1:2" x14ac:dyDescent="0.25">
      <c r="A60" s="3" t="s">
        <v>53</v>
      </c>
      <c r="B60" s="5">
        <f>2225.04</f>
        <v>2225.04</v>
      </c>
    </row>
    <row r="61" spans="1:2" x14ac:dyDescent="0.25">
      <c r="A61" s="3" t="s">
        <v>54</v>
      </c>
      <c r="B61" s="5">
        <f>2765.86</f>
        <v>2765.86</v>
      </c>
    </row>
    <row r="62" spans="1:2" x14ac:dyDescent="0.25">
      <c r="A62" s="3" t="s">
        <v>55</v>
      </c>
      <c r="B62" s="5">
        <f>13379</f>
        <v>13379</v>
      </c>
    </row>
    <row r="63" spans="1:2" x14ac:dyDescent="0.25">
      <c r="A63" s="3" t="s">
        <v>56</v>
      </c>
      <c r="B63" s="5">
        <f>25209</f>
        <v>25209</v>
      </c>
    </row>
    <row r="64" spans="1:2" x14ac:dyDescent="0.25">
      <c r="A64" s="3" t="s">
        <v>57</v>
      </c>
      <c r="B64" s="6">
        <f>((B61)+(B62))+(B63)</f>
        <v>41353.86</v>
      </c>
    </row>
    <row r="65" spans="1:2" x14ac:dyDescent="0.25">
      <c r="A65" s="3" t="s">
        <v>58</v>
      </c>
      <c r="B65" s="5">
        <f>118.4</f>
        <v>118.4</v>
      </c>
    </row>
    <row r="66" spans="1:2" x14ac:dyDescent="0.25">
      <c r="A66" s="3" t="s">
        <v>59</v>
      </c>
      <c r="B66" s="5">
        <f>3880.67</f>
        <v>3880.67</v>
      </c>
    </row>
    <row r="67" spans="1:2" x14ac:dyDescent="0.25">
      <c r="A67" s="3" t="s">
        <v>60</v>
      </c>
      <c r="B67" s="5">
        <f>3825</f>
        <v>3825</v>
      </c>
    </row>
    <row r="68" spans="1:2" x14ac:dyDescent="0.25">
      <c r="A68" s="3" t="s">
        <v>61</v>
      </c>
      <c r="B68" s="5">
        <f>4869.82</f>
        <v>4869.82</v>
      </c>
    </row>
    <row r="69" spans="1:2" x14ac:dyDescent="0.25">
      <c r="A69" s="3" t="s">
        <v>62</v>
      </c>
      <c r="B69" s="5">
        <f>49737.24</f>
        <v>49737.24</v>
      </c>
    </row>
    <row r="70" spans="1:2" x14ac:dyDescent="0.25">
      <c r="A70" s="3" t="s">
        <v>63</v>
      </c>
      <c r="B70" s="5">
        <f>26100.05</f>
        <v>26100.05</v>
      </c>
    </row>
    <row r="71" spans="1:2" x14ac:dyDescent="0.25">
      <c r="A71" s="3" t="s">
        <v>64</v>
      </c>
      <c r="B71" s="5">
        <f>33999.48</f>
        <v>33999.480000000003</v>
      </c>
    </row>
    <row r="72" spans="1:2" x14ac:dyDescent="0.25">
      <c r="A72" s="3" t="s">
        <v>65</v>
      </c>
      <c r="B72" s="6">
        <f>(B70)+(B71)</f>
        <v>60099.53</v>
      </c>
    </row>
    <row r="73" spans="1:2" x14ac:dyDescent="0.25">
      <c r="A73" s="3" t="s">
        <v>66</v>
      </c>
      <c r="B73" s="5">
        <f>19326.21</f>
        <v>19326.21</v>
      </c>
    </row>
    <row r="74" spans="1:2" x14ac:dyDescent="0.25">
      <c r="A74" s="3" t="s">
        <v>67</v>
      </c>
      <c r="B74" s="6">
        <f>(((((((((((((((B53)+(B54))+(B55))+(B56))+(B57))+(B58))+(B59))+(B60))+(B64))+(B65))+(B66))+(B67))+(B68))+(B69))+(B72))+(B73)</f>
        <v>246796.47999999995</v>
      </c>
    </row>
    <row r="75" spans="1:2" x14ac:dyDescent="0.25">
      <c r="A75" s="3" t="s">
        <v>68</v>
      </c>
      <c r="B75" s="6">
        <f>((B43)+(B52))+(B74)</f>
        <v>293111.77999999997</v>
      </c>
    </row>
    <row r="76" spans="1:2" x14ac:dyDescent="0.25">
      <c r="A76" s="3" t="s">
        <v>69</v>
      </c>
      <c r="B76" s="6">
        <f>(B34)-(B75)</f>
        <v>-4049.4400000000023</v>
      </c>
    </row>
    <row r="77" spans="1:2" x14ac:dyDescent="0.25">
      <c r="A77" s="3" t="s">
        <v>70</v>
      </c>
      <c r="B77" s="4"/>
    </row>
    <row r="78" spans="1:2" x14ac:dyDescent="0.25">
      <c r="A78" s="3" t="s">
        <v>71</v>
      </c>
      <c r="B78" s="5">
        <f>17.72</f>
        <v>17.72</v>
      </c>
    </row>
    <row r="79" spans="1:2" x14ac:dyDescent="0.25">
      <c r="A79" s="3" t="s">
        <v>72</v>
      </c>
      <c r="B79" s="5">
        <f>26490</f>
        <v>26490</v>
      </c>
    </row>
    <row r="80" spans="1:2" x14ac:dyDescent="0.25">
      <c r="A80" s="3" t="s">
        <v>73</v>
      </c>
      <c r="B80" s="5">
        <f>5577.77</f>
        <v>5577.77</v>
      </c>
    </row>
    <row r="81" spans="1:2" x14ac:dyDescent="0.25">
      <c r="A81" s="3" t="s">
        <v>74</v>
      </c>
      <c r="B81" s="6">
        <f>(B79)+(B80)</f>
        <v>32067.77</v>
      </c>
    </row>
    <row r="82" spans="1:2" x14ac:dyDescent="0.25">
      <c r="A82" s="3" t="s">
        <v>75</v>
      </c>
      <c r="B82" s="6">
        <f>(B78)+(B81)</f>
        <v>32085.49</v>
      </c>
    </row>
    <row r="83" spans="1:2" x14ac:dyDescent="0.25">
      <c r="A83" s="3" t="s">
        <v>76</v>
      </c>
      <c r="B83" s="6">
        <f>(B82)-(0)</f>
        <v>32085.49</v>
      </c>
    </row>
    <row r="84" spans="1:2" x14ac:dyDescent="0.25">
      <c r="A84" s="3" t="s">
        <v>77</v>
      </c>
      <c r="B84" s="7">
        <f>(B76)+(B83)</f>
        <v>28036.05</v>
      </c>
    </row>
    <row r="85" spans="1:2" x14ac:dyDescent="0.25">
      <c r="A85" s="3"/>
      <c r="B85" s="4"/>
    </row>
    <row r="88" spans="1:2" x14ac:dyDescent="0.25">
      <c r="A88" s="30" t="s">
        <v>78</v>
      </c>
      <c r="B88" s="28"/>
    </row>
  </sheetData>
  <mergeCells count="4">
    <mergeCell ref="A88:B88"/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D6A4-BBC7-40B6-9720-9AAFDB5C4942}">
  <dimension ref="A1:B62"/>
  <sheetViews>
    <sheetView workbookViewId="0">
      <selection activeCell="D26" sqref="D26"/>
    </sheetView>
  </sheetViews>
  <sheetFormatPr defaultRowHeight="15" x14ac:dyDescent="0.25"/>
  <cols>
    <col min="1" max="2" width="32.7109375" customWidth="1"/>
  </cols>
  <sheetData>
    <row r="1" spans="1:2" ht="18" x14ac:dyDescent="0.25">
      <c r="A1" s="27" t="s">
        <v>79</v>
      </c>
      <c r="B1" s="28"/>
    </row>
    <row r="2" spans="1:2" ht="18" x14ac:dyDescent="0.25">
      <c r="A2" s="27" t="s">
        <v>80</v>
      </c>
      <c r="B2" s="28"/>
    </row>
    <row r="3" spans="1:2" x14ac:dyDescent="0.25">
      <c r="A3" s="29" t="s">
        <v>82</v>
      </c>
      <c r="B3" s="28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1391.32</f>
        <v>1391.32</v>
      </c>
    </row>
    <row r="9" spans="1:2" x14ac:dyDescent="0.25">
      <c r="A9" s="3" t="s">
        <v>4</v>
      </c>
      <c r="B9" s="5">
        <f>97.12</f>
        <v>97.12</v>
      </c>
    </row>
    <row r="10" spans="1:2" x14ac:dyDescent="0.25">
      <c r="A10" s="3" t="s">
        <v>5</v>
      </c>
      <c r="B10" s="7">
        <f>((B7)+(B8))+(B9)</f>
        <v>1488.44</v>
      </c>
    </row>
    <row r="11" spans="1:2" x14ac:dyDescent="0.25">
      <c r="A11" s="3" t="s">
        <v>6</v>
      </c>
      <c r="B11" s="4"/>
    </row>
    <row r="12" spans="1:2" x14ac:dyDescent="0.25">
      <c r="A12" s="3" t="s">
        <v>7</v>
      </c>
      <c r="B12" s="5">
        <f>751.57</f>
        <v>751.57</v>
      </c>
    </row>
    <row r="13" spans="1:2" x14ac:dyDescent="0.25">
      <c r="A13" s="3" t="s">
        <v>8</v>
      </c>
      <c r="B13" s="5">
        <f>157.16</f>
        <v>157.16</v>
      </c>
    </row>
    <row r="14" spans="1:2" x14ac:dyDescent="0.25">
      <c r="A14" s="3" t="s">
        <v>15</v>
      </c>
      <c r="B14" s="5">
        <f>534.07</f>
        <v>534.07000000000005</v>
      </c>
    </row>
    <row r="15" spans="1:2" x14ac:dyDescent="0.25">
      <c r="A15" s="3" t="s">
        <v>16</v>
      </c>
      <c r="B15" s="5">
        <f>1235.41</f>
        <v>1235.4100000000001</v>
      </c>
    </row>
    <row r="16" spans="1:2" x14ac:dyDescent="0.25">
      <c r="A16" s="3" t="s">
        <v>18</v>
      </c>
      <c r="B16" s="5">
        <f>322.94</f>
        <v>322.94</v>
      </c>
    </row>
    <row r="17" spans="1:2" x14ac:dyDescent="0.25">
      <c r="A17" s="3" t="s">
        <v>19</v>
      </c>
      <c r="B17" s="7">
        <f>((B14)+(B15))+(B16)</f>
        <v>2092.42</v>
      </c>
    </row>
    <row r="18" spans="1:2" x14ac:dyDescent="0.25">
      <c r="A18" s="3" t="s">
        <v>21</v>
      </c>
      <c r="B18" s="5">
        <f>54.95</f>
        <v>54.95</v>
      </c>
    </row>
    <row r="19" spans="1:2" x14ac:dyDescent="0.25">
      <c r="A19" s="3" t="s">
        <v>23</v>
      </c>
      <c r="B19" s="7">
        <f>((((B11)+(B12))+(B13))+(B17))+(B18)</f>
        <v>3056.1</v>
      </c>
    </row>
    <row r="20" spans="1:2" x14ac:dyDescent="0.25">
      <c r="A20" s="3" t="s">
        <v>24</v>
      </c>
      <c r="B20" s="5">
        <f>7614.46</f>
        <v>7614.46</v>
      </c>
    </row>
    <row r="21" spans="1:2" x14ac:dyDescent="0.25">
      <c r="A21" s="3" t="s">
        <v>27</v>
      </c>
      <c r="B21" s="7">
        <f>((B10)+(B19))+(B20)</f>
        <v>12159</v>
      </c>
    </row>
    <row r="22" spans="1:2" x14ac:dyDescent="0.25">
      <c r="A22" s="3" t="s">
        <v>28</v>
      </c>
      <c r="B22" s="7">
        <f>(B21)-(0)</f>
        <v>12159</v>
      </c>
    </row>
    <row r="23" spans="1:2" x14ac:dyDescent="0.25">
      <c r="A23" s="3" t="s">
        <v>29</v>
      </c>
      <c r="B23" s="4"/>
    </row>
    <row r="24" spans="1:2" x14ac:dyDescent="0.25">
      <c r="A24" s="3" t="s">
        <v>30</v>
      </c>
      <c r="B24" s="4"/>
    </row>
    <row r="25" spans="1:2" x14ac:dyDescent="0.25">
      <c r="A25" s="3" t="s">
        <v>33</v>
      </c>
      <c r="B25" s="5">
        <f>4488.4</f>
        <v>4488.3999999999996</v>
      </c>
    </row>
    <row r="26" spans="1:2" x14ac:dyDescent="0.25">
      <c r="A26" s="3" t="s">
        <v>36</v>
      </c>
      <c r="B26" s="5">
        <f>99</f>
        <v>99</v>
      </c>
    </row>
    <row r="27" spans="1:2" x14ac:dyDescent="0.25">
      <c r="A27" s="3" t="s">
        <v>37</v>
      </c>
      <c r="B27" s="7">
        <f>((B24)+(B25))+(B26)</f>
        <v>4587.3999999999996</v>
      </c>
    </row>
    <row r="28" spans="1:2" x14ac:dyDescent="0.25">
      <c r="A28" s="3" t="s">
        <v>38</v>
      </c>
      <c r="B28" s="4"/>
    </row>
    <row r="29" spans="1:2" x14ac:dyDescent="0.25">
      <c r="A29" s="3" t="s">
        <v>40</v>
      </c>
      <c r="B29" s="5">
        <f>-968.7</f>
        <v>-968.7</v>
      </c>
    </row>
    <row r="30" spans="1:2" x14ac:dyDescent="0.25">
      <c r="A30" s="3" t="s">
        <v>43</v>
      </c>
      <c r="B30" s="5">
        <f>27.19</f>
        <v>27.19</v>
      </c>
    </row>
    <row r="31" spans="1:2" x14ac:dyDescent="0.25">
      <c r="A31" s="3" t="s">
        <v>44</v>
      </c>
      <c r="B31" s="5">
        <f>1484.54</f>
        <v>1484.54</v>
      </c>
    </row>
    <row r="32" spans="1:2" x14ac:dyDescent="0.25">
      <c r="A32" s="3" t="s">
        <v>45</v>
      </c>
      <c r="B32" s="7">
        <f>(((B28)+(B29))+(B30))+(B31)</f>
        <v>543.03</v>
      </c>
    </row>
    <row r="33" spans="1:2" x14ac:dyDescent="0.25">
      <c r="A33" s="3" t="s">
        <v>46</v>
      </c>
      <c r="B33" s="4"/>
    </row>
    <row r="34" spans="1:2" x14ac:dyDescent="0.25">
      <c r="A34" s="3" t="s">
        <v>47</v>
      </c>
      <c r="B34" s="5">
        <f>685.4</f>
        <v>685.4</v>
      </c>
    </row>
    <row r="35" spans="1:2" x14ac:dyDescent="0.25">
      <c r="A35" s="3" t="s">
        <v>48</v>
      </c>
      <c r="B35" s="5">
        <f>6056.88</f>
        <v>6056.88</v>
      </c>
    </row>
    <row r="36" spans="1:2" x14ac:dyDescent="0.25">
      <c r="A36" s="3" t="s">
        <v>49</v>
      </c>
      <c r="B36" s="5">
        <f>15</f>
        <v>15</v>
      </c>
    </row>
    <row r="37" spans="1:2" x14ac:dyDescent="0.25">
      <c r="A37" s="3" t="s">
        <v>51</v>
      </c>
      <c r="B37" s="5">
        <f>149.77</f>
        <v>149.77000000000001</v>
      </c>
    </row>
    <row r="38" spans="1:2" x14ac:dyDescent="0.25">
      <c r="A38" s="3" t="s">
        <v>52</v>
      </c>
      <c r="B38" s="5">
        <f>193.47</f>
        <v>193.47</v>
      </c>
    </row>
    <row r="39" spans="1:2" x14ac:dyDescent="0.25">
      <c r="A39" s="3" t="s">
        <v>53</v>
      </c>
      <c r="B39" s="5">
        <f>2225.04</f>
        <v>2225.04</v>
      </c>
    </row>
    <row r="40" spans="1:2" x14ac:dyDescent="0.25">
      <c r="A40" s="3" t="s">
        <v>54</v>
      </c>
      <c r="B40" s="4"/>
    </row>
    <row r="41" spans="1:2" x14ac:dyDescent="0.25">
      <c r="A41" s="3" t="s">
        <v>55</v>
      </c>
      <c r="B41" s="5">
        <f>3434</f>
        <v>3434</v>
      </c>
    </row>
    <row r="42" spans="1:2" x14ac:dyDescent="0.25">
      <c r="A42" s="3" t="s">
        <v>56</v>
      </c>
      <c r="B42" s="5">
        <f>7269</f>
        <v>7269</v>
      </c>
    </row>
    <row r="43" spans="1:2" x14ac:dyDescent="0.25">
      <c r="A43" s="3" t="s">
        <v>57</v>
      </c>
      <c r="B43" s="7">
        <f>((B40)+(B41))+(B42)</f>
        <v>10703</v>
      </c>
    </row>
    <row r="44" spans="1:2" x14ac:dyDescent="0.25">
      <c r="A44" s="3" t="s">
        <v>59</v>
      </c>
      <c r="B44" s="5">
        <f>2864.33</f>
        <v>2864.33</v>
      </c>
    </row>
    <row r="45" spans="1:2" x14ac:dyDescent="0.25">
      <c r="A45" s="3" t="s">
        <v>62</v>
      </c>
      <c r="B45" s="5">
        <f>25123.63</f>
        <v>25123.63</v>
      </c>
    </row>
    <row r="46" spans="1:2" x14ac:dyDescent="0.25">
      <c r="A46" s="3" t="s">
        <v>63</v>
      </c>
      <c r="B46" s="5">
        <f>6731.06</f>
        <v>6731.06</v>
      </c>
    </row>
    <row r="47" spans="1:2" x14ac:dyDescent="0.25">
      <c r="A47" s="3" t="s">
        <v>64</v>
      </c>
      <c r="B47" s="5">
        <f>8841.68</f>
        <v>8841.68</v>
      </c>
    </row>
    <row r="48" spans="1:2" x14ac:dyDescent="0.25">
      <c r="A48" s="3" t="s">
        <v>65</v>
      </c>
      <c r="B48" s="7">
        <f>(B46)+(B47)</f>
        <v>15572.740000000002</v>
      </c>
    </row>
    <row r="49" spans="1:2" x14ac:dyDescent="0.25">
      <c r="A49" s="3" t="s">
        <v>66</v>
      </c>
      <c r="B49" s="5">
        <f>2550</f>
        <v>2550</v>
      </c>
    </row>
    <row r="50" spans="1:2" x14ac:dyDescent="0.25">
      <c r="A50" s="3" t="s">
        <v>67</v>
      </c>
      <c r="B50" s="7">
        <f>(((((((((((B33)+(B34))+(B35))+(B36))+(B37))+(B38))+(B39))+(B43))+(B44))+(B45))+(B48))+(B49)</f>
        <v>66139.260000000009</v>
      </c>
    </row>
    <row r="51" spans="1:2" x14ac:dyDescent="0.25">
      <c r="A51" s="3" t="s">
        <v>68</v>
      </c>
      <c r="B51" s="7">
        <f>((B27)+(B32))+(B50)</f>
        <v>71269.69</v>
      </c>
    </row>
    <row r="52" spans="1:2" x14ac:dyDescent="0.25">
      <c r="A52" s="3" t="s">
        <v>69</v>
      </c>
      <c r="B52" s="7">
        <f>(B22)-(B51)</f>
        <v>-59110.69</v>
      </c>
    </row>
    <row r="53" spans="1:2" x14ac:dyDescent="0.25">
      <c r="A53" s="3" t="s">
        <v>70</v>
      </c>
      <c r="B53" s="4"/>
    </row>
    <row r="54" spans="1:2" x14ac:dyDescent="0.25">
      <c r="A54" s="3" t="s">
        <v>71</v>
      </c>
      <c r="B54" s="5">
        <f>1.18</f>
        <v>1.18</v>
      </c>
    </row>
    <row r="55" spans="1:2" x14ac:dyDescent="0.25">
      <c r="A55" s="3" t="s">
        <v>72</v>
      </c>
      <c r="B55" s="5">
        <f>9025</f>
        <v>9025</v>
      </c>
    </row>
    <row r="56" spans="1:2" x14ac:dyDescent="0.25">
      <c r="A56" s="3" t="s">
        <v>75</v>
      </c>
      <c r="B56" s="7">
        <f>(B54)+(B55)</f>
        <v>9026.18</v>
      </c>
    </row>
    <row r="57" spans="1:2" x14ac:dyDescent="0.25">
      <c r="A57" s="3" t="s">
        <v>76</v>
      </c>
      <c r="B57" s="7">
        <f>(B56)-(0)</f>
        <v>9026.18</v>
      </c>
    </row>
    <row r="58" spans="1:2" x14ac:dyDescent="0.25">
      <c r="A58" s="3" t="s">
        <v>77</v>
      </c>
      <c r="B58" s="7">
        <f>(B52)+(B57)</f>
        <v>-50084.51</v>
      </c>
    </row>
    <row r="59" spans="1:2" x14ac:dyDescent="0.25">
      <c r="A59" s="3"/>
      <c r="B59" s="4"/>
    </row>
    <row r="62" spans="1:2" x14ac:dyDescent="0.25">
      <c r="A62" s="30" t="s">
        <v>83</v>
      </c>
      <c r="B62" s="28"/>
    </row>
  </sheetData>
  <mergeCells count="4">
    <mergeCell ref="A1:B1"/>
    <mergeCell ref="A2:B2"/>
    <mergeCell ref="A3:B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8E4E-E231-41B9-B248-659570A19F1B}">
  <dimension ref="A1:AV63"/>
  <sheetViews>
    <sheetView workbookViewId="0">
      <pane xSplit="1" ySplit="5" topLeftCell="O36" activePane="bottomRight" state="frozen"/>
      <selection pane="topRight" activeCell="B1" sqref="B1"/>
      <selection pane="bottomLeft" activeCell="A6" sqref="A6"/>
      <selection pane="bottomRight" activeCell="R64" sqref="R64"/>
    </sheetView>
  </sheetViews>
  <sheetFormatPr defaultRowHeight="15" x14ac:dyDescent="0.25"/>
  <cols>
    <col min="1" max="1" width="31" customWidth="1"/>
    <col min="2" max="20" width="13.28515625" customWidth="1"/>
  </cols>
  <sheetData>
    <row r="1" spans="1:20" ht="18" x14ac:dyDescent="0.25">
      <c r="A1" s="27" t="s">
        <v>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8" x14ac:dyDescent="0.25">
      <c r="A2" s="27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x14ac:dyDescent="0.25">
      <c r="A3" s="29" t="s">
        <v>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0" ht="36.75" x14ac:dyDescent="0.25">
      <c r="A5" s="1"/>
      <c r="B5" s="2" t="s">
        <v>84</v>
      </c>
      <c r="C5" s="2" t="s">
        <v>85</v>
      </c>
      <c r="D5" s="2" t="s">
        <v>86</v>
      </c>
      <c r="E5" s="2" t="s">
        <v>87</v>
      </c>
      <c r="F5" s="2" t="s">
        <v>88</v>
      </c>
      <c r="G5" s="2" t="s">
        <v>89</v>
      </c>
      <c r="H5" s="2" t="s">
        <v>90</v>
      </c>
      <c r="I5" s="2" t="s">
        <v>91</v>
      </c>
      <c r="J5" s="2" t="s">
        <v>92</v>
      </c>
      <c r="K5" s="2" t="s">
        <v>93</v>
      </c>
      <c r="L5" s="2" t="s">
        <v>94</v>
      </c>
      <c r="M5" s="2" t="s">
        <v>95</v>
      </c>
      <c r="N5" s="2" t="s">
        <v>96</v>
      </c>
      <c r="O5" s="2" t="s">
        <v>97</v>
      </c>
      <c r="P5" s="2" t="s">
        <v>98</v>
      </c>
      <c r="Q5" s="2" t="s">
        <v>99</v>
      </c>
      <c r="R5" s="2" t="s">
        <v>100</v>
      </c>
      <c r="S5" s="2" t="s">
        <v>101</v>
      </c>
      <c r="T5" s="2" t="s">
        <v>102</v>
      </c>
    </row>
    <row r="6" spans="1:20" x14ac:dyDescent="0.25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>
        <f t="shared" ref="P7:P22" si="0">(N7)+(O7)</f>
        <v>0</v>
      </c>
      <c r="Q7" s="4"/>
      <c r="R7" s="4"/>
      <c r="S7" s="4"/>
      <c r="T7" s="5">
        <f t="shared" ref="T7:T22" si="1">(((((((((((((((B7)+(C7))+(D7))+(E7))+(F7))+(G7))+(H7))+(I7))+(J7))+(K7))+(L7))+(M7))+(P7))+(Q7))+(R7))+(S7)</f>
        <v>0</v>
      </c>
    </row>
    <row r="8" spans="1:20" x14ac:dyDescent="0.25">
      <c r="A8" s="3" t="s">
        <v>3</v>
      </c>
      <c r="B8" s="4"/>
      <c r="C8" s="5">
        <f>171.27</f>
        <v>171.27</v>
      </c>
      <c r="D8" s="5">
        <f>484</f>
        <v>484</v>
      </c>
      <c r="E8" s="4"/>
      <c r="F8" s="4"/>
      <c r="G8" s="4"/>
      <c r="H8" s="4"/>
      <c r="I8" s="4"/>
      <c r="J8" s="4"/>
      <c r="K8" s="5">
        <f>96.8</f>
        <v>96.8</v>
      </c>
      <c r="L8" s="5">
        <f>242.45</f>
        <v>242.45</v>
      </c>
      <c r="M8" s="5">
        <f>96.8</f>
        <v>96.8</v>
      </c>
      <c r="N8" s="4"/>
      <c r="O8" s="4"/>
      <c r="P8" s="5">
        <f t="shared" si="0"/>
        <v>0</v>
      </c>
      <c r="Q8" s="5">
        <f>200</f>
        <v>200</v>
      </c>
      <c r="R8" s="4"/>
      <c r="S8" s="5">
        <f>100</f>
        <v>100</v>
      </c>
      <c r="T8" s="5">
        <f t="shared" si="1"/>
        <v>1391.32</v>
      </c>
    </row>
    <row r="9" spans="1:20" x14ac:dyDescent="0.25">
      <c r="A9" s="3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>
        <f>97.12</f>
        <v>97.12</v>
      </c>
      <c r="P9" s="5">
        <f t="shared" si="0"/>
        <v>97.12</v>
      </c>
      <c r="Q9" s="4"/>
      <c r="R9" s="4"/>
      <c r="S9" s="4"/>
      <c r="T9" s="5">
        <f t="shared" si="1"/>
        <v>97.12</v>
      </c>
    </row>
    <row r="10" spans="1:20" x14ac:dyDescent="0.25">
      <c r="A10" s="3" t="s">
        <v>5</v>
      </c>
      <c r="B10" s="7">
        <f t="shared" ref="B10:O10" si="2">((B7)+(B8))+(B9)</f>
        <v>0</v>
      </c>
      <c r="C10" s="7">
        <f t="shared" si="2"/>
        <v>171.27</v>
      </c>
      <c r="D10" s="7">
        <f t="shared" si="2"/>
        <v>484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96.8</v>
      </c>
      <c r="L10" s="7">
        <f t="shared" si="2"/>
        <v>242.45</v>
      </c>
      <c r="M10" s="7">
        <f t="shared" si="2"/>
        <v>96.8</v>
      </c>
      <c r="N10" s="7">
        <f t="shared" si="2"/>
        <v>0</v>
      </c>
      <c r="O10" s="7">
        <f t="shared" si="2"/>
        <v>97.12</v>
      </c>
      <c r="P10" s="7">
        <f t="shared" si="0"/>
        <v>97.12</v>
      </c>
      <c r="Q10" s="7">
        <f>((Q7)+(Q8))+(Q9)</f>
        <v>200</v>
      </c>
      <c r="R10" s="7">
        <f>((R7)+(R8))+(R9)</f>
        <v>0</v>
      </c>
      <c r="S10" s="7">
        <f>((S7)+(S8))+(S9)</f>
        <v>100</v>
      </c>
      <c r="T10" s="7">
        <f t="shared" si="1"/>
        <v>1488.44</v>
      </c>
    </row>
    <row r="11" spans="1:20" x14ac:dyDescent="0.25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>
        <f t="shared" si="0"/>
        <v>0</v>
      </c>
      <c r="Q11" s="4"/>
      <c r="R11" s="4"/>
      <c r="S11" s="4"/>
      <c r="T11" s="5">
        <f t="shared" si="1"/>
        <v>0</v>
      </c>
    </row>
    <row r="12" spans="1:20" x14ac:dyDescent="0.25">
      <c r="A12" s="3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>
        <f>751.57</f>
        <v>751.57</v>
      </c>
      <c r="P12" s="5">
        <f t="shared" si="0"/>
        <v>751.57</v>
      </c>
      <c r="Q12" s="4"/>
      <c r="R12" s="4"/>
      <c r="S12" s="4"/>
      <c r="T12" s="5">
        <f t="shared" si="1"/>
        <v>751.57</v>
      </c>
    </row>
    <row r="13" spans="1:20" x14ac:dyDescent="0.25">
      <c r="A13" s="3" t="s">
        <v>8</v>
      </c>
      <c r="B13" s="4"/>
      <c r="C13" s="4"/>
      <c r="D13" s="4"/>
      <c r="E13" s="5">
        <f>78.58</f>
        <v>78.58</v>
      </c>
      <c r="F13" s="4"/>
      <c r="G13" s="4"/>
      <c r="H13" s="5">
        <f>78.58</f>
        <v>78.58</v>
      </c>
      <c r="I13" s="4"/>
      <c r="J13" s="4"/>
      <c r="K13" s="4"/>
      <c r="L13" s="4"/>
      <c r="M13" s="4"/>
      <c r="N13" s="4"/>
      <c r="O13" s="4"/>
      <c r="P13" s="5">
        <f t="shared" si="0"/>
        <v>0</v>
      </c>
      <c r="Q13" s="4"/>
      <c r="R13" s="4"/>
      <c r="S13" s="4"/>
      <c r="T13" s="5">
        <f t="shared" si="1"/>
        <v>157.16</v>
      </c>
    </row>
    <row r="14" spans="1:20" x14ac:dyDescent="0.25">
      <c r="A14" s="3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>
        <f>534.07</f>
        <v>534.07000000000005</v>
      </c>
      <c r="M14" s="4"/>
      <c r="N14" s="4"/>
      <c r="O14" s="4"/>
      <c r="P14" s="5">
        <f t="shared" si="0"/>
        <v>0</v>
      </c>
      <c r="Q14" s="4"/>
      <c r="R14" s="4"/>
      <c r="S14" s="4"/>
      <c r="T14" s="5">
        <f t="shared" si="1"/>
        <v>534.07000000000005</v>
      </c>
    </row>
    <row r="15" spans="1:20" x14ac:dyDescent="0.25">
      <c r="A15" s="3" t="s">
        <v>16</v>
      </c>
      <c r="B15" s="4"/>
      <c r="C15" s="5">
        <f>1235.41</f>
        <v>1235.4100000000001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>
        <f t="shared" si="0"/>
        <v>0</v>
      </c>
      <c r="Q15" s="4"/>
      <c r="R15" s="4"/>
      <c r="S15" s="4"/>
      <c r="T15" s="5">
        <f t="shared" si="1"/>
        <v>1235.4100000000001</v>
      </c>
    </row>
    <row r="16" spans="1:20" x14ac:dyDescent="0.25">
      <c r="A16" s="3" t="s">
        <v>18</v>
      </c>
      <c r="B16" s="4"/>
      <c r="C16" s="4"/>
      <c r="D16" s="5">
        <f>322.94</f>
        <v>322.94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>
        <f t="shared" si="0"/>
        <v>0</v>
      </c>
      <c r="Q16" s="4"/>
      <c r="R16" s="4"/>
      <c r="S16" s="4"/>
      <c r="T16" s="5">
        <f t="shared" si="1"/>
        <v>322.94</v>
      </c>
    </row>
    <row r="17" spans="1:20" x14ac:dyDescent="0.25">
      <c r="A17" s="3" t="s">
        <v>19</v>
      </c>
      <c r="B17" s="7">
        <f t="shared" ref="B17:O17" si="3">((B14)+(B15))+(B16)</f>
        <v>0</v>
      </c>
      <c r="C17" s="7">
        <f t="shared" si="3"/>
        <v>1235.4100000000001</v>
      </c>
      <c r="D17" s="7">
        <f t="shared" si="3"/>
        <v>322.94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534.07000000000005</v>
      </c>
      <c r="M17" s="7">
        <f t="shared" si="3"/>
        <v>0</v>
      </c>
      <c r="N17" s="7">
        <f t="shared" si="3"/>
        <v>0</v>
      </c>
      <c r="O17" s="7">
        <f t="shared" si="3"/>
        <v>0</v>
      </c>
      <c r="P17" s="7">
        <f t="shared" si="0"/>
        <v>0</v>
      </c>
      <c r="Q17" s="7">
        <f>((Q14)+(Q15))+(Q16)</f>
        <v>0</v>
      </c>
      <c r="R17" s="7">
        <f>((R14)+(R15))+(R16)</f>
        <v>0</v>
      </c>
      <c r="S17" s="7">
        <f>((S14)+(S15))+(S16)</f>
        <v>0</v>
      </c>
      <c r="T17" s="7">
        <f t="shared" si="1"/>
        <v>2092.42</v>
      </c>
    </row>
    <row r="18" spans="1:20" x14ac:dyDescent="0.25">
      <c r="A18" s="3" t="s">
        <v>21</v>
      </c>
      <c r="B18" s="4"/>
      <c r="C18" s="4"/>
      <c r="D18" s="4"/>
      <c r="E18" s="4"/>
      <c r="F18" s="4"/>
      <c r="G18" s="4"/>
      <c r="H18" s="5">
        <f>54.95</f>
        <v>54.95</v>
      </c>
      <c r="I18" s="4"/>
      <c r="J18" s="4"/>
      <c r="K18" s="4"/>
      <c r="L18" s="4"/>
      <c r="M18" s="4"/>
      <c r="N18" s="4"/>
      <c r="O18" s="4"/>
      <c r="P18" s="5">
        <f t="shared" si="0"/>
        <v>0</v>
      </c>
      <c r="Q18" s="4"/>
      <c r="R18" s="4"/>
      <c r="S18" s="4"/>
      <c r="T18" s="5">
        <f t="shared" si="1"/>
        <v>54.95</v>
      </c>
    </row>
    <row r="19" spans="1:20" x14ac:dyDescent="0.25">
      <c r="A19" s="3" t="s">
        <v>23</v>
      </c>
      <c r="B19" s="7">
        <f t="shared" ref="B19:O19" si="4">((((B11)+(B12))+(B13))+(B17))+(B18)</f>
        <v>0</v>
      </c>
      <c r="C19" s="7">
        <f t="shared" si="4"/>
        <v>1235.4100000000001</v>
      </c>
      <c r="D19" s="7">
        <f t="shared" si="4"/>
        <v>322.94</v>
      </c>
      <c r="E19" s="7">
        <f t="shared" si="4"/>
        <v>78.58</v>
      </c>
      <c r="F19" s="7">
        <f t="shared" si="4"/>
        <v>0</v>
      </c>
      <c r="G19" s="7">
        <f t="shared" si="4"/>
        <v>0</v>
      </c>
      <c r="H19" s="7">
        <f t="shared" si="4"/>
        <v>133.53</v>
      </c>
      <c r="I19" s="7">
        <f t="shared" si="4"/>
        <v>0</v>
      </c>
      <c r="J19" s="7">
        <f t="shared" si="4"/>
        <v>0</v>
      </c>
      <c r="K19" s="7">
        <f t="shared" si="4"/>
        <v>0</v>
      </c>
      <c r="L19" s="7">
        <f t="shared" si="4"/>
        <v>534.07000000000005</v>
      </c>
      <c r="M19" s="7">
        <f t="shared" si="4"/>
        <v>0</v>
      </c>
      <c r="N19" s="7">
        <f t="shared" si="4"/>
        <v>0</v>
      </c>
      <c r="O19" s="7">
        <f t="shared" si="4"/>
        <v>751.57</v>
      </c>
      <c r="P19" s="7">
        <f t="shared" si="0"/>
        <v>751.57</v>
      </c>
      <c r="Q19" s="7">
        <f>((((Q11)+(Q12))+(Q13))+(Q17))+(Q18)</f>
        <v>0</v>
      </c>
      <c r="R19" s="7">
        <f>((((R11)+(R12))+(R13))+(R17))+(R18)</f>
        <v>0</v>
      </c>
      <c r="S19" s="7">
        <f>((((S11)+(S12))+(S13))+(S17))+(S18)</f>
        <v>0</v>
      </c>
      <c r="T19" s="7">
        <f t="shared" si="1"/>
        <v>3056.1000000000004</v>
      </c>
    </row>
    <row r="20" spans="1:2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>
        <f>7614.46</f>
        <v>7614.46</v>
      </c>
      <c r="P20" s="5">
        <f t="shared" si="0"/>
        <v>7614.46</v>
      </c>
      <c r="Q20" s="4"/>
      <c r="R20" s="4"/>
      <c r="S20" s="4"/>
      <c r="T20" s="5">
        <f t="shared" si="1"/>
        <v>7614.46</v>
      </c>
    </row>
    <row r="21" spans="1:20" x14ac:dyDescent="0.25">
      <c r="A21" s="3" t="s">
        <v>27</v>
      </c>
      <c r="B21" s="7">
        <f t="shared" ref="B21:O21" si="5">((B10)+(B19))+(B20)</f>
        <v>0</v>
      </c>
      <c r="C21" s="7">
        <f t="shared" si="5"/>
        <v>1406.68</v>
      </c>
      <c r="D21" s="7">
        <f t="shared" si="5"/>
        <v>806.94</v>
      </c>
      <c r="E21" s="7">
        <f t="shared" si="5"/>
        <v>78.58</v>
      </c>
      <c r="F21" s="7">
        <f t="shared" si="5"/>
        <v>0</v>
      </c>
      <c r="G21" s="7">
        <f t="shared" si="5"/>
        <v>0</v>
      </c>
      <c r="H21" s="7">
        <f t="shared" si="5"/>
        <v>133.53</v>
      </c>
      <c r="I21" s="7">
        <f t="shared" si="5"/>
        <v>0</v>
      </c>
      <c r="J21" s="7">
        <f t="shared" si="5"/>
        <v>0</v>
      </c>
      <c r="K21" s="7">
        <f t="shared" si="5"/>
        <v>96.8</v>
      </c>
      <c r="L21" s="7">
        <f t="shared" si="5"/>
        <v>776.52</v>
      </c>
      <c r="M21" s="7">
        <f t="shared" si="5"/>
        <v>96.8</v>
      </c>
      <c r="N21" s="7">
        <f t="shared" si="5"/>
        <v>0</v>
      </c>
      <c r="O21" s="7">
        <f t="shared" si="5"/>
        <v>8463.15</v>
      </c>
      <c r="P21" s="7">
        <f t="shared" si="0"/>
        <v>8463.15</v>
      </c>
      <c r="Q21" s="7">
        <f>((Q10)+(Q19))+(Q20)</f>
        <v>200</v>
      </c>
      <c r="R21" s="7">
        <f>((R10)+(R19))+(R20)</f>
        <v>0</v>
      </c>
      <c r="S21" s="7">
        <f>((S10)+(S19))+(S20)</f>
        <v>100</v>
      </c>
      <c r="T21" s="7">
        <f t="shared" si="1"/>
        <v>12159</v>
      </c>
    </row>
    <row r="22" spans="1:20" x14ac:dyDescent="0.25">
      <c r="A22" s="3" t="s">
        <v>28</v>
      </c>
      <c r="B22" s="7">
        <f t="shared" ref="B22:O22" si="6">(B21)-(0)</f>
        <v>0</v>
      </c>
      <c r="C22" s="7">
        <f t="shared" si="6"/>
        <v>1406.68</v>
      </c>
      <c r="D22" s="7">
        <f t="shared" si="6"/>
        <v>806.94</v>
      </c>
      <c r="E22" s="7">
        <f t="shared" si="6"/>
        <v>78.58</v>
      </c>
      <c r="F22" s="7">
        <f t="shared" si="6"/>
        <v>0</v>
      </c>
      <c r="G22" s="7">
        <f t="shared" si="6"/>
        <v>0</v>
      </c>
      <c r="H22" s="7">
        <f t="shared" si="6"/>
        <v>133.53</v>
      </c>
      <c r="I22" s="7">
        <f t="shared" si="6"/>
        <v>0</v>
      </c>
      <c r="J22" s="7">
        <f t="shared" si="6"/>
        <v>0</v>
      </c>
      <c r="K22" s="7">
        <f t="shared" si="6"/>
        <v>96.8</v>
      </c>
      <c r="L22" s="7">
        <f t="shared" si="6"/>
        <v>776.52</v>
      </c>
      <c r="M22" s="7">
        <f t="shared" si="6"/>
        <v>96.8</v>
      </c>
      <c r="N22" s="7">
        <f t="shared" si="6"/>
        <v>0</v>
      </c>
      <c r="O22" s="7">
        <f t="shared" si="6"/>
        <v>8463.15</v>
      </c>
      <c r="P22" s="7">
        <f t="shared" si="0"/>
        <v>8463.15</v>
      </c>
      <c r="Q22" s="7">
        <f>(Q21)-(0)</f>
        <v>200</v>
      </c>
      <c r="R22" s="7">
        <f>(R21)-(0)</f>
        <v>0</v>
      </c>
      <c r="S22" s="7">
        <f>(S21)-(0)</f>
        <v>100</v>
      </c>
      <c r="T22" s="7">
        <f t="shared" si="1"/>
        <v>12159</v>
      </c>
    </row>
    <row r="23" spans="1:20" x14ac:dyDescent="0.25">
      <c r="A23" s="3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3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>
        <f t="shared" ref="P24:P52" si="7">(N24)+(O24)</f>
        <v>0</v>
      </c>
      <c r="Q24" s="4"/>
      <c r="R24" s="4"/>
      <c r="S24" s="4"/>
      <c r="T24" s="5">
        <f t="shared" ref="T24:T52" si="8">(((((((((((((((B24)+(C24))+(D24))+(E24))+(F24))+(G24))+(H24))+(I24))+(J24))+(K24))+(L24))+(M24))+(P24))+(Q24))+(R24))+(S24)</f>
        <v>0</v>
      </c>
    </row>
    <row r="25" spans="1:20" x14ac:dyDescent="0.25">
      <c r="A25" s="3" t="s">
        <v>33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>
        <f>4488.4</f>
        <v>4488.3999999999996</v>
      </c>
      <c r="P25" s="5">
        <f t="shared" si="7"/>
        <v>4488.3999999999996</v>
      </c>
      <c r="Q25" s="4"/>
      <c r="R25" s="4"/>
      <c r="S25" s="4"/>
      <c r="T25" s="5">
        <f t="shared" si="8"/>
        <v>4488.3999999999996</v>
      </c>
    </row>
    <row r="26" spans="1:20" x14ac:dyDescent="0.25">
      <c r="A26" s="3" t="s">
        <v>36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>
        <f>99</f>
        <v>99</v>
      </c>
      <c r="P26" s="5">
        <f t="shared" si="7"/>
        <v>99</v>
      </c>
      <c r="Q26" s="4"/>
      <c r="R26" s="4"/>
      <c r="S26" s="4"/>
      <c r="T26" s="5">
        <f t="shared" si="8"/>
        <v>99</v>
      </c>
    </row>
    <row r="27" spans="1:20" x14ac:dyDescent="0.25">
      <c r="A27" s="3" t="s">
        <v>37</v>
      </c>
      <c r="B27" s="7">
        <f t="shared" ref="B27:O27" si="9">((B24)+(B25))+(B26)</f>
        <v>0</v>
      </c>
      <c r="C27" s="7">
        <f t="shared" si="9"/>
        <v>0</v>
      </c>
      <c r="D27" s="7">
        <f t="shared" si="9"/>
        <v>0</v>
      </c>
      <c r="E27" s="7">
        <f t="shared" si="9"/>
        <v>0</v>
      </c>
      <c r="F27" s="7">
        <f t="shared" si="9"/>
        <v>0</v>
      </c>
      <c r="G27" s="7">
        <f t="shared" si="9"/>
        <v>0</v>
      </c>
      <c r="H27" s="7">
        <f t="shared" si="9"/>
        <v>0</v>
      </c>
      <c r="I27" s="7">
        <f t="shared" si="9"/>
        <v>0</v>
      </c>
      <c r="J27" s="7">
        <f t="shared" si="9"/>
        <v>0</v>
      </c>
      <c r="K27" s="7">
        <f t="shared" si="9"/>
        <v>0</v>
      </c>
      <c r="L27" s="7">
        <f t="shared" si="9"/>
        <v>0</v>
      </c>
      <c r="M27" s="7">
        <f t="shared" si="9"/>
        <v>0</v>
      </c>
      <c r="N27" s="7">
        <f t="shared" si="9"/>
        <v>0</v>
      </c>
      <c r="O27" s="7">
        <f t="shared" si="9"/>
        <v>4587.3999999999996</v>
      </c>
      <c r="P27" s="7">
        <f t="shared" si="7"/>
        <v>4587.3999999999996</v>
      </c>
      <c r="Q27" s="7">
        <f>((Q24)+(Q25))+(Q26)</f>
        <v>0</v>
      </c>
      <c r="R27" s="7">
        <f>((R24)+(R25))+(R26)</f>
        <v>0</v>
      </c>
      <c r="S27" s="7">
        <f>((S24)+(S25))+(S26)</f>
        <v>0</v>
      </c>
      <c r="T27" s="7">
        <f t="shared" si="8"/>
        <v>4587.3999999999996</v>
      </c>
    </row>
    <row r="28" spans="1:20" x14ac:dyDescent="0.25">
      <c r="A28" s="3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>
        <f t="shared" si="7"/>
        <v>0</v>
      </c>
      <c r="Q28" s="4"/>
      <c r="R28" s="4"/>
      <c r="S28" s="4"/>
      <c r="T28" s="5">
        <f t="shared" si="8"/>
        <v>0</v>
      </c>
    </row>
    <row r="29" spans="1:20" x14ac:dyDescent="0.25">
      <c r="A29" s="3" t="s">
        <v>40</v>
      </c>
      <c r="B29" s="4"/>
      <c r="C29" s="4"/>
      <c r="D29" s="4"/>
      <c r="E29" s="5">
        <f>-968.7</f>
        <v>-968.7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5">
        <f t="shared" si="7"/>
        <v>0</v>
      </c>
      <c r="Q29" s="4"/>
      <c r="R29" s="4"/>
      <c r="S29" s="4"/>
      <c r="T29" s="5">
        <f t="shared" si="8"/>
        <v>-968.7</v>
      </c>
    </row>
    <row r="30" spans="1:20" x14ac:dyDescent="0.25">
      <c r="A30" s="3" t="s">
        <v>43</v>
      </c>
      <c r="B30" s="4"/>
      <c r="C30" s="5">
        <f>27.19</f>
        <v>27.19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>
        <f t="shared" si="7"/>
        <v>0</v>
      </c>
      <c r="Q30" s="4"/>
      <c r="R30" s="4"/>
      <c r="S30" s="4"/>
      <c r="T30" s="5">
        <f t="shared" si="8"/>
        <v>27.19</v>
      </c>
    </row>
    <row r="31" spans="1:20" x14ac:dyDescent="0.25">
      <c r="A31" s="3" t="s">
        <v>44</v>
      </c>
      <c r="B31" s="4"/>
      <c r="C31" s="5">
        <f>1155.71</f>
        <v>1155.71</v>
      </c>
      <c r="D31" s="5">
        <f>328.83</f>
        <v>328.83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>
        <f t="shared" si="7"/>
        <v>0</v>
      </c>
      <c r="Q31" s="4"/>
      <c r="R31" s="4"/>
      <c r="S31" s="4"/>
      <c r="T31" s="5">
        <f t="shared" si="8"/>
        <v>1484.54</v>
      </c>
    </row>
    <row r="32" spans="1:20" x14ac:dyDescent="0.25">
      <c r="A32" s="3" t="s">
        <v>45</v>
      </c>
      <c r="B32" s="7">
        <f t="shared" ref="B32:O32" si="10">(((B28)+(B29))+(B30))+(B31)</f>
        <v>0</v>
      </c>
      <c r="C32" s="7">
        <f t="shared" si="10"/>
        <v>1182.9000000000001</v>
      </c>
      <c r="D32" s="7">
        <f t="shared" si="10"/>
        <v>328.83</v>
      </c>
      <c r="E32" s="7">
        <f t="shared" si="10"/>
        <v>-968.7</v>
      </c>
      <c r="F32" s="7">
        <f t="shared" si="10"/>
        <v>0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0</v>
      </c>
      <c r="M32" s="7">
        <f t="shared" si="10"/>
        <v>0</v>
      </c>
      <c r="N32" s="7">
        <f t="shared" si="10"/>
        <v>0</v>
      </c>
      <c r="O32" s="7">
        <f t="shared" si="10"/>
        <v>0</v>
      </c>
      <c r="P32" s="7">
        <f t="shared" si="7"/>
        <v>0</v>
      </c>
      <c r="Q32" s="7">
        <f>(((Q28)+(Q29))+(Q30))+(Q31)</f>
        <v>0</v>
      </c>
      <c r="R32" s="7">
        <f>(((R28)+(R29))+(R30))+(R31)</f>
        <v>0</v>
      </c>
      <c r="S32" s="7">
        <f>(((S28)+(S29))+(S30))+(S31)</f>
        <v>0</v>
      </c>
      <c r="T32" s="7">
        <f t="shared" si="8"/>
        <v>543.03</v>
      </c>
    </row>
    <row r="33" spans="1:20" x14ac:dyDescent="0.25">
      <c r="A33" s="3" t="s">
        <v>46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>
        <f t="shared" si="7"/>
        <v>0</v>
      </c>
      <c r="Q33" s="4"/>
      <c r="R33" s="4"/>
      <c r="S33" s="4"/>
      <c r="T33" s="5">
        <f t="shared" si="8"/>
        <v>0</v>
      </c>
    </row>
    <row r="34" spans="1:20" x14ac:dyDescent="0.25">
      <c r="A34" s="3" t="s">
        <v>47</v>
      </c>
      <c r="B34" s="4"/>
      <c r="C34" s="4"/>
      <c r="D34" s="4"/>
      <c r="E34" s="4"/>
      <c r="F34" s="4"/>
      <c r="G34" s="4"/>
      <c r="H34" s="4"/>
      <c r="I34" s="4"/>
      <c r="J34" s="4"/>
      <c r="K34" s="5">
        <f>685.4</f>
        <v>685.4</v>
      </c>
      <c r="L34" s="4"/>
      <c r="M34" s="4"/>
      <c r="N34" s="4"/>
      <c r="O34" s="4"/>
      <c r="P34" s="5">
        <f t="shared" si="7"/>
        <v>0</v>
      </c>
      <c r="Q34" s="4"/>
      <c r="R34" s="4"/>
      <c r="S34" s="4"/>
      <c r="T34" s="5">
        <f t="shared" si="8"/>
        <v>685.4</v>
      </c>
    </row>
    <row r="35" spans="1:20" x14ac:dyDescent="0.25">
      <c r="A35" s="3" t="s">
        <v>48</v>
      </c>
      <c r="B35" s="4"/>
      <c r="C35" s="4"/>
      <c r="D35" s="4"/>
      <c r="E35" s="4"/>
      <c r="F35" s="4"/>
      <c r="G35" s="5">
        <f>6056.88</f>
        <v>6056.88</v>
      </c>
      <c r="H35" s="4"/>
      <c r="I35" s="4"/>
      <c r="J35" s="4"/>
      <c r="K35" s="4"/>
      <c r="L35" s="4"/>
      <c r="M35" s="4"/>
      <c r="N35" s="4"/>
      <c r="O35" s="4"/>
      <c r="P35" s="5">
        <f t="shared" si="7"/>
        <v>0</v>
      </c>
      <c r="Q35" s="4"/>
      <c r="R35" s="4"/>
      <c r="S35" s="4"/>
      <c r="T35" s="5">
        <f t="shared" si="8"/>
        <v>6056.88</v>
      </c>
    </row>
    <row r="36" spans="1:20" x14ac:dyDescent="0.25">
      <c r="A36" s="3" t="s">
        <v>49</v>
      </c>
      <c r="B36" s="4"/>
      <c r="C36" s="4"/>
      <c r="D36" s="4"/>
      <c r="E36" s="4"/>
      <c r="F36" s="4"/>
      <c r="G36" s="4"/>
      <c r="H36" s="4"/>
      <c r="I36" s="4"/>
      <c r="J36" s="5">
        <f>45</f>
        <v>45</v>
      </c>
      <c r="K36" s="4"/>
      <c r="L36" s="4"/>
      <c r="M36" s="4"/>
      <c r="N36" s="4"/>
      <c r="O36" s="5">
        <f>-30</f>
        <v>-30</v>
      </c>
      <c r="P36" s="5">
        <f t="shared" si="7"/>
        <v>-30</v>
      </c>
      <c r="Q36" s="4"/>
      <c r="R36" s="4"/>
      <c r="S36" s="4"/>
      <c r="T36" s="5">
        <f t="shared" si="8"/>
        <v>15</v>
      </c>
    </row>
    <row r="37" spans="1:20" x14ac:dyDescent="0.25">
      <c r="A37" s="3" t="s">
        <v>51</v>
      </c>
      <c r="B37" s="5">
        <f>149.77</f>
        <v>149.77000000000001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>
        <f t="shared" si="7"/>
        <v>0</v>
      </c>
      <c r="Q37" s="4"/>
      <c r="R37" s="4"/>
      <c r="S37" s="4"/>
      <c r="T37" s="5">
        <f t="shared" si="8"/>
        <v>149.77000000000001</v>
      </c>
    </row>
    <row r="38" spans="1:20" x14ac:dyDescent="0.25">
      <c r="A38" s="3" t="s">
        <v>52</v>
      </c>
      <c r="B38" s="5">
        <f>120</f>
        <v>120</v>
      </c>
      <c r="C38" s="4"/>
      <c r="D38" s="4"/>
      <c r="E38" s="4"/>
      <c r="F38" s="4"/>
      <c r="G38" s="4"/>
      <c r="H38" s="4"/>
      <c r="I38" s="4"/>
      <c r="J38" s="5">
        <f>44.17</f>
        <v>44.17</v>
      </c>
      <c r="K38" s="4"/>
      <c r="L38" s="4"/>
      <c r="M38" s="4"/>
      <c r="N38" s="4"/>
      <c r="O38" s="5">
        <f>29.3</f>
        <v>29.3</v>
      </c>
      <c r="P38" s="5">
        <f t="shared" si="7"/>
        <v>29.3</v>
      </c>
      <c r="Q38" s="4"/>
      <c r="R38" s="4"/>
      <c r="S38" s="4"/>
      <c r="T38" s="5">
        <f t="shared" si="8"/>
        <v>193.47000000000003</v>
      </c>
    </row>
    <row r="39" spans="1:20" x14ac:dyDescent="0.25">
      <c r="A39" s="3" t="s">
        <v>53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>
        <f>2225.04</f>
        <v>2225.04</v>
      </c>
      <c r="P39" s="5">
        <f t="shared" si="7"/>
        <v>2225.04</v>
      </c>
      <c r="Q39" s="4"/>
      <c r="R39" s="4"/>
      <c r="S39" s="4"/>
      <c r="T39" s="5">
        <f t="shared" si="8"/>
        <v>2225.04</v>
      </c>
    </row>
    <row r="40" spans="1:20" x14ac:dyDescent="0.25">
      <c r="A40" s="3" t="s">
        <v>54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>
        <f t="shared" si="7"/>
        <v>0</v>
      </c>
      <c r="Q40" s="4"/>
      <c r="R40" s="4"/>
      <c r="S40" s="4"/>
      <c r="T40" s="5">
        <f t="shared" si="8"/>
        <v>0</v>
      </c>
    </row>
    <row r="41" spans="1:20" x14ac:dyDescent="0.25">
      <c r="A41" s="3" t="s">
        <v>55</v>
      </c>
      <c r="B41" s="4"/>
      <c r="C41" s="5">
        <f>799</f>
        <v>799</v>
      </c>
      <c r="D41" s="5">
        <f>527</f>
        <v>527</v>
      </c>
      <c r="E41" s="4"/>
      <c r="F41" s="4"/>
      <c r="G41" s="4"/>
      <c r="H41" s="5">
        <f>1496</f>
        <v>1496</v>
      </c>
      <c r="I41" s="4"/>
      <c r="J41" s="4"/>
      <c r="K41" s="4"/>
      <c r="L41" s="4"/>
      <c r="M41" s="4"/>
      <c r="N41" s="4"/>
      <c r="O41" s="5">
        <f>612</f>
        <v>612</v>
      </c>
      <c r="P41" s="5">
        <f t="shared" si="7"/>
        <v>612</v>
      </c>
      <c r="Q41" s="4"/>
      <c r="R41" s="4"/>
      <c r="S41" s="4"/>
      <c r="T41" s="5">
        <f t="shared" si="8"/>
        <v>3434</v>
      </c>
    </row>
    <row r="42" spans="1:20" x14ac:dyDescent="0.25">
      <c r="A42" s="3" t="s">
        <v>56</v>
      </c>
      <c r="B42" s="4"/>
      <c r="C42" s="4"/>
      <c r="D42" s="4"/>
      <c r="E42" s="5">
        <f>7269</f>
        <v>7269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5">
        <f t="shared" si="7"/>
        <v>0</v>
      </c>
      <c r="Q42" s="4"/>
      <c r="R42" s="4"/>
      <c r="S42" s="4"/>
      <c r="T42" s="5">
        <f t="shared" si="8"/>
        <v>7269</v>
      </c>
    </row>
    <row r="43" spans="1:20" x14ac:dyDescent="0.25">
      <c r="A43" s="3" t="s">
        <v>57</v>
      </c>
      <c r="B43" s="7">
        <f t="shared" ref="B43:O43" si="11">((B40)+(B41))+(B42)</f>
        <v>0</v>
      </c>
      <c r="C43" s="7">
        <f t="shared" si="11"/>
        <v>799</v>
      </c>
      <c r="D43" s="7">
        <f t="shared" si="11"/>
        <v>527</v>
      </c>
      <c r="E43" s="7">
        <f t="shared" si="11"/>
        <v>7269</v>
      </c>
      <c r="F43" s="7">
        <f t="shared" si="11"/>
        <v>0</v>
      </c>
      <c r="G43" s="7">
        <f t="shared" si="11"/>
        <v>0</v>
      </c>
      <c r="H43" s="7">
        <f t="shared" si="11"/>
        <v>1496</v>
      </c>
      <c r="I43" s="7">
        <f t="shared" si="11"/>
        <v>0</v>
      </c>
      <c r="J43" s="7">
        <f t="shared" si="11"/>
        <v>0</v>
      </c>
      <c r="K43" s="7">
        <f t="shared" si="11"/>
        <v>0</v>
      </c>
      <c r="L43" s="7">
        <f t="shared" si="11"/>
        <v>0</v>
      </c>
      <c r="M43" s="7">
        <f t="shared" si="11"/>
        <v>0</v>
      </c>
      <c r="N43" s="7">
        <f t="shared" si="11"/>
        <v>0</v>
      </c>
      <c r="O43" s="7">
        <f t="shared" si="11"/>
        <v>612</v>
      </c>
      <c r="P43" s="7">
        <f t="shared" si="7"/>
        <v>612</v>
      </c>
      <c r="Q43" s="7">
        <f>((Q40)+(Q41))+(Q42)</f>
        <v>0</v>
      </c>
      <c r="R43" s="7">
        <f>((R40)+(R41))+(R42)</f>
        <v>0</v>
      </c>
      <c r="S43" s="7">
        <f>((S40)+(S41))+(S42)</f>
        <v>0</v>
      </c>
      <c r="T43" s="7">
        <f t="shared" si="8"/>
        <v>10703</v>
      </c>
    </row>
    <row r="44" spans="1:20" x14ac:dyDescent="0.25">
      <c r="A44" s="3" t="s">
        <v>59</v>
      </c>
      <c r="B44" s="4"/>
      <c r="C44" s="4"/>
      <c r="D44" s="5">
        <f>100</f>
        <v>100</v>
      </c>
      <c r="E44" s="4"/>
      <c r="F44" s="4"/>
      <c r="G44" s="4"/>
      <c r="H44" s="5">
        <f>2011</f>
        <v>2011</v>
      </c>
      <c r="I44" s="4"/>
      <c r="J44" s="4"/>
      <c r="K44" s="4"/>
      <c r="L44" s="4"/>
      <c r="M44" s="4"/>
      <c r="N44" s="4"/>
      <c r="O44" s="4"/>
      <c r="P44" s="5">
        <f t="shared" si="7"/>
        <v>0</v>
      </c>
      <c r="Q44" s="4"/>
      <c r="R44" s="5">
        <f>753.33</f>
        <v>753.33</v>
      </c>
      <c r="S44" s="4"/>
      <c r="T44" s="5">
        <f t="shared" si="8"/>
        <v>2864.33</v>
      </c>
    </row>
    <row r="45" spans="1:20" x14ac:dyDescent="0.25">
      <c r="A45" s="3" t="s">
        <v>62</v>
      </c>
      <c r="B45" s="4"/>
      <c r="C45" s="5">
        <f>1800</f>
        <v>1800</v>
      </c>
      <c r="D45" s="5">
        <f>2883.24</f>
        <v>2883.24</v>
      </c>
      <c r="E45" s="5">
        <f>16786</f>
        <v>16786</v>
      </c>
      <c r="F45" s="5">
        <f>441.93</f>
        <v>441.93</v>
      </c>
      <c r="G45" s="4"/>
      <c r="H45" s="4"/>
      <c r="I45" s="5">
        <f>3212.46</f>
        <v>3212.46</v>
      </c>
      <c r="J45" s="4"/>
      <c r="K45" s="4"/>
      <c r="L45" s="4"/>
      <c r="M45" s="4"/>
      <c r="N45" s="4"/>
      <c r="O45" s="4"/>
      <c r="P45" s="5">
        <f t="shared" si="7"/>
        <v>0</v>
      </c>
      <c r="Q45" s="4"/>
      <c r="R45" s="4"/>
      <c r="S45" s="4"/>
      <c r="T45" s="5">
        <f t="shared" si="8"/>
        <v>25123.629999999997</v>
      </c>
    </row>
    <row r="46" spans="1:20" x14ac:dyDescent="0.25">
      <c r="A46" s="3" t="s">
        <v>63</v>
      </c>
      <c r="B46" s="5">
        <f>6375.32</f>
        <v>6375.32</v>
      </c>
      <c r="C46" s="4"/>
      <c r="D46" s="5">
        <f>355.74</f>
        <v>355.74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>
        <f t="shared" si="7"/>
        <v>0</v>
      </c>
      <c r="Q46" s="4"/>
      <c r="R46" s="4"/>
      <c r="S46" s="4"/>
      <c r="T46" s="5">
        <f t="shared" si="8"/>
        <v>6731.0599999999995</v>
      </c>
    </row>
    <row r="47" spans="1:20" x14ac:dyDescent="0.25">
      <c r="A47" s="3" t="s">
        <v>64</v>
      </c>
      <c r="B47" s="4"/>
      <c r="C47" s="5">
        <f>8841.68</f>
        <v>8841.68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>
        <f t="shared" si="7"/>
        <v>0</v>
      </c>
      <c r="Q47" s="4"/>
      <c r="R47" s="4"/>
      <c r="S47" s="4"/>
      <c r="T47" s="5">
        <f t="shared" si="8"/>
        <v>8841.68</v>
      </c>
    </row>
    <row r="48" spans="1:20" x14ac:dyDescent="0.25">
      <c r="A48" s="3" t="s">
        <v>65</v>
      </c>
      <c r="B48" s="7">
        <f t="shared" ref="B48:O48" si="12">(B46)+(B47)</f>
        <v>6375.32</v>
      </c>
      <c r="C48" s="7">
        <f t="shared" si="12"/>
        <v>8841.68</v>
      </c>
      <c r="D48" s="7">
        <f t="shared" si="12"/>
        <v>355.74</v>
      </c>
      <c r="E48" s="7">
        <f t="shared" si="12"/>
        <v>0</v>
      </c>
      <c r="F48" s="7">
        <f t="shared" si="12"/>
        <v>0</v>
      </c>
      <c r="G48" s="7">
        <f t="shared" si="12"/>
        <v>0</v>
      </c>
      <c r="H48" s="7">
        <f t="shared" si="12"/>
        <v>0</v>
      </c>
      <c r="I48" s="7">
        <f t="shared" si="12"/>
        <v>0</v>
      </c>
      <c r="J48" s="7">
        <f t="shared" si="12"/>
        <v>0</v>
      </c>
      <c r="K48" s="7">
        <f t="shared" si="12"/>
        <v>0</v>
      </c>
      <c r="L48" s="7">
        <f t="shared" si="12"/>
        <v>0</v>
      </c>
      <c r="M48" s="7">
        <f t="shared" si="12"/>
        <v>0</v>
      </c>
      <c r="N48" s="7">
        <f t="shared" si="12"/>
        <v>0</v>
      </c>
      <c r="O48" s="7">
        <f t="shared" si="12"/>
        <v>0</v>
      </c>
      <c r="P48" s="7">
        <f t="shared" si="7"/>
        <v>0</v>
      </c>
      <c r="Q48" s="7">
        <f>(Q46)+(Q47)</f>
        <v>0</v>
      </c>
      <c r="R48" s="7">
        <f>(R46)+(R47)</f>
        <v>0</v>
      </c>
      <c r="S48" s="7">
        <f>(S46)+(S47)</f>
        <v>0</v>
      </c>
      <c r="T48" s="7">
        <f t="shared" si="8"/>
        <v>15572.74</v>
      </c>
    </row>
    <row r="49" spans="1:48" x14ac:dyDescent="0.25">
      <c r="A49" s="3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>
        <f t="shared" si="7"/>
        <v>0</v>
      </c>
      <c r="Q49" s="4"/>
      <c r="R49" s="4"/>
      <c r="S49" s="5">
        <f>2550</f>
        <v>2550</v>
      </c>
      <c r="T49" s="5">
        <f t="shared" si="8"/>
        <v>2550</v>
      </c>
    </row>
    <row r="50" spans="1:48" x14ac:dyDescent="0.25">
      <c r="A50" s="3" t="s">
        <v>67</v>
      </c>
      <c r="B50" s="7">
        <f t="shared" ref="B50:O50" si="13">(((((((((((B33)+(B34))+(B35))+(B36))+(B37))+(B38))+(B39))+(B43))+(B44))+(B45))+(B48))+(B49)</f>
        <v>6645.09</v>
      </c>
      <c r="C50" s="7">
        <f t="shared" si="13"/>
        <v>11440.68</v>
      </c>
      <c r="D50" s="7">
        <f t="shared" si="13"/>
        <v>3865.9799999999996</v>
      </c>
      <c r="E50" s="7">
        <f t="shared" si="13"/>
        <v>24055</v>
      </c>
      <c r="F50" s="7">
        <f t="shared" si="13"/>
        <v>441.93</v>
      </c>
      <c r="G50" s="7">
        <f t="shared" si="13"/>
        <v>6056.88</v>
      </c>
      <c r="H50" s="7">
        <f t="shared" si="13"/>
        <v>3507</v>
      </c>
      <c r="I50" s="7">
        <f t="shared" si="13"/>
        <v>3212.46</v>
      </c>
      <c r="J50" s="7">
        <f t="shared" si="13"/>
        <v>89.17</v>
      </c>
      <c r="K50" s="7">
        <f t="shared" si="13"/>
        <v>685.4</v>
      </c>
      <c r="L50" s="7">
        <f t="shared" si="13"/>
        <v>0</v>
      </c>
      <c r="M50" s="7">
        <f t="shared" si="13"/>
        <v>0</v>
      </c>
      <c r="N50" s="7">
        <f t="shared" si="13"/>
        <v>0</v>
      </c>
      <c r="O50" s="7">
        <f t="shared" si="13"/>
        <v>2836.34</v>
      </c>
      <c r="P50" s="7">
        <f t="shared" si="7"/>
        <v>2836.34</v>
      </c>
      <c r="Q50" s="7">
        <f>(((((((((((Q33)+(Q34))+(Q35))+(Q36))+(Q37))+(Q38))+(Q39))+(Q43))+(Q44))+(Q45))+(Q48))+(Q49)</f>
        <v>0</v>
      </c>
      <c r="R50" s="7">
        <f>(((((((((((R33)+(R34))+(R35))+(R36))+(R37))+(R38))+(R39))+(R43))+(R44))+(R45))+(R48))+(R49)</f>
        <v>753.33</v>
      </c>
      <c r="S50" s="7">
        <f>(((((((((((S33)+(S34))+(S35))+(S36))+(S37))+(S38))+(S39))+(S43))+(S44))+(S45))+(S48))+(S49)</f>
        <v>2550</v>
      </c>
      <c r="T50" s="7">
        <f t="shared" si="8"/>
        <v>66139.259999999995</v>
      </c>
    </row>
    <row r="51" spans="1:48" x14ac:dyDescent="0.25">
      <c r="A51" s="3" t="s">
        <v>68</v>
      </c>
      <c r="B51" s="7">
        <f t="shared" ref="B51:O51" si="14">((B27)+(B32))+(B50)</f>
        <v>6645.09</v>
      </c>
      <c r="C51" s="7">
        <f t="shared" si="14"/>
        <v>12623.58</v>
      </c>
      <c r="D51" s="7">
        <f t="shared" si="14"/>
        <v>4194.8099999999995</v>
      </c>
      <c r="E51" s="7">
        <f t="shared" si="14"/>
        <v>23086.3</v>
      </c>
      <c r="F51" s="7">
        <f t="shared" si="14"/>
        <v>441.93</v>
      </c>
      <c r="G51" s="7">
        <f t="shared" si="14"/>
        <v>6056.88</v>
      </c>
      <c r="H51" s="7">
        <f t="shared" si="14"/>
        <v>3507</v>
      </c>
      <c r="I51" s="7">
        <f t="shared" si="14"/>
        <v>3212.46</v>
      </c>
      <c r="J51" s="7">
        <f t="shared" si="14"/>
        <v>89.17</v>
      </c>
      <c r="K51" s="7">
        <f t="shared" si="14"/>
        <v>685.4</v>
      </c>
      <c r="L51" s="7">
        <f t="shared" si="14"/>
        <v>0</v>
      </c>
      <c r="M51" s="7">
        <f t="shared" si="14"/>
        <v>0</v>
      </c>
      <c r="N51" s="7">
        <f t="shared" si="14"/>
        <v>0</v>
      </c>
      <c r="O51" s="7">
        <f t="shared" si="14"/>
        <v>7423.74</v>
      </c>
      <c r="P51" s="7">
        <f t="shared" si="7"/>
        <v>7423.74</v>
      </c>
      <c r="Q51" s="7">
        <f>((Q27)+(Q32))+(Q50)</f>
        <v>0</v>
      </c>
      <c r="R51" s="7">
        <f>((R27)+(R32))+(R50)</f>
        <v>753.33</v>
      </c>
      <c r="S51" s="7">
        <f>((S27)+(S32))+(S50)</f>
        <v>2550</v>
      </c>
      <c r="T51" s="7">
        <f t="shared" si="8"/>
        <v>71269.69</v>
      </c>
    </row>
    <row r="52" spans="1:48" x14ac:dyDescent="0.25">
      <c r="A52" s="3" t="s">
        <v>69</v>
      </c>
      <c r="B52" s="7">
        <f t="shared" ref="B52:O52" si="15">(B22)-(B51)</f>
        <v>-6645.09</v>
      </c>
      <c r="C52" s="7">
        <f t="shared" si="15"/>
        <v>-11216.9</v>
      </c>
      <c r="D52" s="7">
        <f t="shared" si="15"/>
        <v>-3387.8699999999994</v>
      </c>
      <c r="E52" s="7">
        <f t="shared" si="15"/>
        <v>-23007.719999999998</v>
      </c>
      <c r="F52" s="7">
        <f t="shared" si="15"/>
        <v>-441.93</v>
      </c>
      <c r="G52" s="7">
        <f t="shared" si="15"/>
        <v>-6056.88</v>
      </c>
      <c r="H52" s="7">
        <f t="shared" si="15"/>
        <v>-3373.47</v>
      </c>
      <c r="I52" s="7">
        <f t="shared" si="15"/>
        <v>-3212.46</v>
      </c>
      <c r="J52" s="7">
        <f t="shared" si="15"/>
        <v>-89.17</v>
      </c>
      <c r="K52" s="7">
        <f t="shared" si="15"/>
        <v>-588.6</v>
      </c>
      <c r="L52" s="7">
        <f t="shared" si="15"/>
        <v>776.52</v>
      </c>
      <c r="M52" s="7">
        <f t="shared" si="15"/>
        <v>96.8</v>
      </c>
      <c r="N52" s="7">
        <f t="shared" si="15"/>
        <v>0</v>
      </c>
      <c r="O52" s="7">
        <f t="shared" si="15"/>
        <v>1039.4099999999999</v>
      </c>
      <c r="P52" s="7">
        <f t="shared" si="7"/>
        <v>1039.4099999999999</v>
      </c>
      <c r="Q52" s="7">
        <f>(Q22)-(Q51)</f>
        <v>200</v>
      </c>
      <c r="R52" s="7">
        <f>(R22)-(R51)</f>
        <v>-753.33</v>
      </c>
      <c r="S52" s="7">
        <f>(S22)-(S51)</f>
        <v>-2450</v>
      </c>
      <c r="T52" s="7">
        <f t="shared" si="8"/>
        <v>-59110.689999999988</v>
      </c>
    </row>
    <row r="53" spans="1:48" x14ac:dyDescent="0.25">
      <c r="A53" s="3" t="s">
        <v>70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48" x14ac:dyDescent="0.25">
      <c r="A54" s="3" t="s">
        <v>71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>
        <f>1.18</f>
        <v>1.18</v>
      </c>
      <c r="P54" s="5">
        <f>(N54)+(O54)</f>
        <v>1.18</v>
      </c>
      <c r="Q54" s="4"/>
      <c r="R54" s="4"/>
      <c r="S54" s="4"/>
      <c r="T54" s="5">
        <f>(((((((((((((((B54)+(C54))+(D54))+(E54))+(F54))+(G54))+(H54))+(I54))+(J54))+(K54))+(L54))+(M54))+(P54))+(Q54))+(R54))+(S54)</f>
        <v>1.18</v>
      </c>
    </row>
    <row r="55" spans="1:48" x14ac:dyDescent="0.25">
      <c r="A55" s="3" t="s">
        <v>72</v>
      </c>
      <c r="B55" s="4"/>
      <c r="C55" s="4"/>
      <c r="D55" s="4"/>
      <c r="E55" s="5">
        <f>9025</f>
        <v>9025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5">
        <f>(N55)+(O55)</f>
        <v>0</v>
      </c>
      <c r="Q55" s="4"/>
      <c r="R55" s="4"/>
      <c r="S55" s="4"/>
      <c r="T55" s="5">
        <f>(((((((((((((((B55)+(C55))+(D55))+(E55))+(F55))+(G55))+(H55))+(I55))+(J55))+(K55))+(L55))+(M55))+(P55))+(Q55))+(R55))+(S55)</f>
        <v>9025</v>
      </c>
    </row>
    <row r="56" spans="1:48" x14ac:dyDescent="0.25">
      <c r="A56" s="3" t="s">
        <v>75</v>
      </c>
      <c r="B56" s="7">
        <f t="shared" ref="B56:O56" si="16">(B54)+(B55)</f>
        <v>0</v>
      </c>
      <c r="C56" s="7">
        <f t="shared" si="16"/>
        <v>0</v>
      </c>
      <c r="D56" s="7">
        <f t="shared" si="16"/>
        <v>0</v>
      </c>
      <c r="E56" s="7">
        <f t="shared" si="16"/>
        <v>9025</v>
      </c>
      <c r="F56" s="7">
        <f t="shared" si="16"/>
        <v>0</v>
      </c>
      <c r="G56" s="7">
        <f t="shared" si="16"/>
        <v>0</v>
      </c>
      <c r="H56" s="7">
        <f t="shared" si="16"/>
        <v>0</v>
      </c>
      <c r="I56" s="7">
        <f t="shared" si="16"/>
        <v>0</v>
      </c>
      <c r="J56" s="7">
        <f t="shared" si="16"/>
        <v>0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1.18</v>
      </c>
      <c r="P56" s="7">
        <f>(N56)+(O56)</f>
        <v>1.18</v>
      </c>
      <c r="Q56" s="7">
        <f>(Q54)+(Q55)</f>
        <v>0</v>
      </c>
      <c r="R56" s="7">
        <f>(R54)+(R55)</f>
        <v>0</v>
      </c>
      <c r="S56" s="7">
        <f>(S54)+(S55)</f>
        <v>0</v>
      </c>
      <c r="T56" s="7">
        <f>(((((((((((((((B56)+(C56))+(D56))+(E56))+(F56))+(G56))+(H56))+(I56))+(J56))+(K56))+(L56))+(M56))+(P56))+(Q56))+(R56))+(S56)</f>
        <v>9026.18</v>
      </c>
    </row>
    <row r="57" spans="1:48" x14ac:dyDescent="0.25">
      <c r="A57" s="3" t="s">
        <v>76</v>
      </c>
      <c r="B57" s="7">
        <f t="shared" ref="B57:O57" si="17">(B56)-(0)</f>
        <v>0</v>
      </c>
      <c r="C57" s="7">
        <f t="shared" si="17"/>
        <v>0</v>
      </c>
      <c r="D57" s="7">
        <f t="shared" si="17"/>
        <v>0</v>
      </c>
      <c r="E57" s="7">
        <f t="shared" si="17"/>
        <v>9025</v>
      </c>
      <c r="F57" s="7">
        <f t="shared" si="17"/>
        <v>0</v>
      </c>
      <c r="G57" s="7">
        <f t="shared" si="17"/>
        <v>0</v>
      </c>
      <c r="H57" s="7">
        <f t="shared" si="17"/>
        <v>0</v>
      </c>
      <c r="I57" s="7">
        <f t="shared" si="17"/>
        <v>0</v>
      </c>
      <c r="J57" s="7">
        <f t="shared" si="17"/>
        <v>0</v>
      </c>
      <c r="K57" s="7">
        <f t="shared" si="17"/>
        <v>0</v>
      </c>
      <c r="L57" s="7">
        <f t="shared" si="17"/>
        <v>0</v>
      </c>
      <c r="M57" s="7">
        <f t="shared" si="17"/>
        <v>0</v>
      </c>
      <c r="N57" s="7">
        <f t="shared" si="17"/>
        <v>0</v>
      </c>
      <c r="O57" s="7">
        <f t="shared" si="17"/>
        <v>1.18</v>
      </c>
      <c r="P57" s="7">
        <f>(N57)+(O57)</f>
        <v>1.18</v>
      </c>
      <c r="Q57" s="7">
        <f>(Q56)-(0)</f>
        <v>0</v>
      </c>
      <c r="R57" s="7">
        <f>(R56)-(0)</f>
        <v>0</v>
      </c>
      <c r="S57" s="7">
        <f>(S56)-(0)</f>
        <v>0</v>
      </c>
      <c r="T57" s="7">
        <f>(((((((((((((((B57)+(C57))+(D57))+(E57))+(F57))+(G57))+(H57))+(I57))+(J57))+(K57))+(L57))+(M57))+(P57))+(Q57))+(R57))+(S57)</f>
        <v>9026.18</v>
      </c>
    </row>
    <row r="58" spans="1:48" x14ac:dyDescent="0.25">
      <c r="A58" s="3" t="s">
        <v>77</v>
      </c>
      <c r="B58" s="7">
        <f t="shared" ref="B58:O58" si="18">(B52)+(B57)</f>
        <v>-6645.09</v>
      </c>
      <c r="C58" s="7">
        <f t="shared" si="18"/>
        <v>-11216.9</v>
      </c>
      <c r="D58" s="7">
        <f t="shared" si="18"/>
        <v>-3387.8699999999994</v>
      </c>
      <c r="E58" s="7">
        <f t="shared" si="18"/>
        <v>-13982.719999999998</v>
      </c>
      <c r="F58" s="7">
        <f t="shared" si="18"/>
        <v>-441.93</v>
      </c>
      <c r="G58" s="7">
        <f t="shared" si="18"/>
        <v>-6056.88</v>
      </c>
      <c r="H58" s="7">
        <f t="shared" si="18"/>
        <v>-3373.47</v>
      </c>
      <c r="I58" s="7">
        <f t="shared" si="18"/>
        <v>-3212.46</v>
      </c>
      <c r="J58" s="7">
        <f t="shared" si="18"/>
        <v>-89.17</v>
      </c>
      <c r="K58" s="7">
        <f t="shared" si="18"/>
        <v>-588.6</v>
      </c>
      <c r="L58" s="7">
        <f t="shared" si="18"/>
        <v>776.52</v>
      </c>
      <c r="M58" s="7">
        <f t="shared" si="18"/>
        <v>96.8</v>
      </c>
      <c r="N58" s="7">
        <f t="shared" si="18"/>
        <v>0</v>
      </c>
      <c r="O58" s="7">
        <f t="shared" si="18"/>
        <v>1040.5899999999999</v>
      </c>
      <c r="P58" s="7">
        <f>(N58)+(O58)</f>
        <v>1040.5899999999999</v>
      </c>
      <c r="Q58" s="7">
        <f>(Q52)+(Q57)</f>
        <v>200</v>
      </c>
      <c r="R58" s="7">
        <f>(R52)+(R57)</f>
        <v>-753.33</v>
      </c>
      <c r="S58" s="7">
        <f>(S52)+(S57)</f>
        <v>-2450</v>
      </c>
      <c r="T58" s="7">
        <f>(((((((((((((((B58)+(C58))+(D58))+(E58))+(F58))+(G58))+(H58))+(I58))+(J58))+(K58))+(L58))+(M58))+(P58))+(Q58))+(R58))+(S58)</f>
        <v>-50084.509999999995</v>
      </c>
    </row>
    <row r="59" spans="1:48" s="17" customFormat="1" ht="11.25" x14ac:dyDescent="0.2">
      <c r="A59" s="8" t="s">
        <v>103</v>
      </c>
      <c r="B59" s="9">
        <v>24784.82</v>
      </c>
      <c r="C59" s="9">
        <v>16414.400000000001</v>
      </c>
      <c r="D59" s="18">
        <v>7197.85</v>
      </c>
      <c r="E59" s="18">
        <v>13262.81</v>
      </c>
      <c r="F59" s="18">
        <v>-1009.89</v>
      </c>
      <c r="G59" s="18">
        <v>19185.59</v>
      </c>
      <c r="H59" s="18">
        <v>6910.51</v>
      </c>
      <c r="I59" s="18">
        <v>2772.64</v>
      </c>
      <c r="J59" s="18">
        <v>9670.31</v>
      </c>
      <c r="K59" s="18">
        <v>762.21</v>
      </c>
      <c r="L59" s="19">
        <v>15346.62</v>
      </c>
      <c r="M59" s="19">
        <v>1009.1</v>
      </c>
      <c r="N59" s="19"/>
      <c r="O59" s="18"/>
      <c r="P59" s="18"/>
      <c r="Q59" s="20">
        <v>3178.55</v>
      </c>
      <c r="R59" s="21">
        <v>7007.79</v>
      </c>
      <c r="S59" s="21">
        <v>347.39</v>
      </c>
      <c r="T59" s="8"/>
      <c r="U59" s="15"/>
      <c r="V59" s="15"/>
      <c r="W59" s="15"/>
      <c r="X59" s="15"/>
      <c r="Y59" s="15"/>
      <c r="Z59" s="15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</row>
    <row r="60" spans="1:48" s="13" customFormat="1" ht="11.25" x14ac:dyDescent="0.2">
      <c r="A60" s="8" t="s">
        <v>104</v>
      </c>
      <c r="B60" s="10">
        <v>0</v>
      </c>
      <c r="C60" s="10">
        <f>C41/2</f>
        <v>399.5</v>
      </c>
      <c r="D60" s="22">
        <f>D41/2+70</f>
        <v>333.5</v>
      </c>
      <c r="E60" s="22">
        <v>0</v>
      </c>
      <c r="F60" s="22">
        <v>0</v>
      </c>
      <c r="G60" s="22">
        <v>0</v>
      </c>
      <c r="H60" s="22">
        <f>H41/2</f>
        <v>748</v>
      </c>
      <c r="I60" s="22">
        <v>0</v>
      </c>
      <c r="J60" s="22">
        <v>0</v>
      </c>
      <c r="K60" s="22">
        <v>0</v>
      </c>
      <c r="L60" s="23">
        <v>0</v>
      </c>
      <c r="M60" s="23">
        <v>0</v>
      </c>
      <c r="N60" s="23"/>
      <c r="O60" s="22"/>
      <c r="P60" s="22"/>
      <c r="Q60" s="24">
        <v>0</v>
      </c>
      <c r="R60" s="25">
        <v>0</v>
      </c>
      <c r="S60" s="25">
        <v>0</v>
      </c>
      <c r="T60" s="14"/>
      <c r="U60" s="11"/>
      <c r="V60" s="11"/>
      <c r="W60" s="11"/>
      <c r="X60" s="11"/>
      <c r="Y60" s="11"/>
      <c r="Z60" s="11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48" s="13" customFormat="1" ht="11.25" x14ac:dyDescent="0.2">
      <c r="A61" s="8" t="s">
        <v>105</v>
      </c>
      <c r="B61" s="10">
        <f>B60+B58</f>
        <v>-6645.09</v>
      </c>
      <c r="C61" s="10">
        <f t="shared" ref="C61:S61" si="19">C60+C58</f>
        <v>-10817.4</v>
      </c>
      <c r="D61" s="10">
        <f t="shared" si="19"/>
        <v>-3054.3699999999994</v>
      </c>
      <c r="E61" s="10">
        <f t="shared" si="19"/>
        <v>-13982.719999999998</v>
      </c>
      <c r="F61" s="10">
        <f t="shared" si="19"/>
        <v>-441.93</v>
      </c>
      <c r="G61" s="10">
        <f t="shared" si="19"/>
        <v>-6056.88</v>
      </c>
      <c r="H61" s="10">
        <f t="shared" si="19"/>
        <v>-2625.47</v>
      </c>
      <c r="I61" s="10">
        <f t="shared" si="19"/>
        <v>-3212.46</v>
      </c>
      <c r="J61" s="10">
        <f t="shared" si="19"/>
        <v>-89.17</v>
      </c>
      <c r="K61" s="10">
        <f t="shared" si="19"/>
        <v>-588.6</v>
      </c>
      <c r="L61" s="10">
        <f t="shared" si="19"/>
        <v>776.52</v>
      </c>
      <c r="M61" s="10">
        <f t="shared" si="19"/>
        <v>96.8</v>
      </c>
      <c r="N61" s="10"/>
      <c r="O61" s="10"/>
      <c r="P61" s="10"/>
      <c r="Q61" s="10">
        <f t="shared" si="19"/>
        <v>200</v>
      </c>
      <c r="R61" s="10">
        <f t="shared" si="19"/>
        <v>-753.33</v>
      </c>
      <c r="S61" s="10">
        <f t="shared" si="19"/>
        <v>-2450</v>
      </c>
      <c r="T61" s="14"/>
      <c r="U61" s="11"/>
      <c r="V61" s="11"/>
      <c r="W61" s="11"/>
      <c r="X61" s="11"/>
      <c r="Y61" s="11"/>
      <c r="Z61" s="11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48" s="13" customFormat="1" ht="11.25" x14ac:dyDescent="0.2">
      <c r="A62" s="8" t="s">
        <v>106</v>
      </c>
      <c r="B62" s="9">
        <f>B61+B59</f>
        <v>18139.73</v>
      </c>
      <c r="C62" s="9">
        <f t="shared" ref="C62:S62" si="20">C61+C59</f>
        <v>5597.0000000000018</v>
      </c>
      <c r="D62" s="9">
        <f t="shared" si="20"/>
        <v>4143.4800000000014</v>
      </c>
      <c r="E62" s="9">
        <f t="shared" si="20"/>
        <v>-719.90999999999804</v>
      </c>
      <c r="F62" s="9">
        <f t="shared" si="20"/>
        <v>-1451.82</v>
      </c>
      <c r="G62" s="9">
        <f t="shared" si="20"/>
        <v>13128.71</v>
      </c>
      <c r="H62" s="9">
        <f t="shared" si="20"/>
        <v>4285.0400000000009</v>
      </c>
      <c r="I62" s="9">
        <f t="shared" si="20"/>
        <v>-439.82000000000016</v>
      </c>
      <c r="J62" s="9">
        <f t="shared" si="20"/>
        <v>9581.14</v>
      </c>
      <c r="K62" s="9">
        <f t="shared" si="20"/>
        <v>173.61</v>
      </c>
      <c r="L62" s="9">
        <f t="shared" si="20"/>
        <v>16123.140000000001</v>
      </c>
      <c r="M62" s="9">
        <f t="shared" si="20"/>
        <v>1105.9000000000001</v>
      </c>
      <c r="N62" s="9"/>
      <c r="O62" s="9"/>
      <c r="P62" s="9"/>
      <c r="Q62" s="9">
        <f t="shared" si="20"/>
        <v>3378.55</v>
      </c>
      <c r="R62" s="9">
        <f t="shared" si="20"/>
        <v>6254.46</v>
      </c>
      <c r="S62" s="9">
        <f t="shared" si="20"/>
        <v>-2102.61</v>
      </c>
      <c r="T62" s="14"/>
      <c r="U62" s="11"/>
      <c r="V62" s="11"/>
      <c r="W62" s="11"/>
      <c r="X62" s="11"/>
      <c r="Y62" s="11"/>
      <c r="Z62" s="11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1:48" x14ac:dyDescent="0.25"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</sheetData>
  <mergeCells count="3">
    <mergeCell ref="A1:T1"/>
    <mergeCell ref="A2:T2"/>
    <mergeCell ref="A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Financial Position</vt:lpstr>
      <vt:lpstr>Statement of Activity</vt:lpstr>
      <vt:lpstr>Dec Statement of Activity</vt:lpstr>
      <vt:lpstr>Dec Stmt of Activity by 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Marconi Avenue Chiro</cp:lastModifiedBy>
  <dcterms:created xsi:type="dcterms:W3CDTF">2025-01-08T06:48:30Z</dcterms:created>
  <dcterms:modified xsi:type="dcterms:W3CDTF">2025-01-08T22:48:10Z</dcterms:modified>
</cp:coreProperties>
</file>