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rrie\Documents\RAAB\Finance\"/>
    </mc:Choice>
  </mc:AlternateContent>
  <xr:revisionPtr revIDLastSave="0" documentId="8_{CFF5E9BA-7439-46EB-BC6F-FAF8DCC6994C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tmt of Financial Position" sheetId="4" r:id="rId1"/>
    <sheet name="Statement of Activity" sheetId="2" r:id="rId2"/>
    <sheet name="Feb Stmt of Activity" sheetId="1" r:id="rId3"/>
    <sheet name="Feb Stmt of Activity by Sport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0" i="4" l="1"/>
  <c r="B59" i="4"/>
  <c r="B56" i="4"/>
  <c r="B54" i="4"/>
  <c r="B53" i="4"/>
  <c r="B55" i="4" s="1"/>
  <c r="B51" i="4"/>
  <c r="B52" i="4" s="1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7" i="4"/>
  <c r="B26" i="4"/>
  <c r="B17" i="4"/>
  <c r="B15" i="4"/>
  <c r="B14" i="4"/>
  <c r="B13" i="4"/>
  <c r="B12" i="4"/>
  <c r="B11" i="4"/>
  <c r="B16" i="4" s="1"/>
  <c r="B10" i="4"/>
  <c r="B9" i="4"/>
  <c r="I63" i="3"/>
  <c r="D63" i="3"/>
  <c r="C63" i="3"/>
  <c r="Q60" i="3"/>
  <c r="R59" i="3"/>
  <c r="R60" i="3" s="1"/>
  <c r="Q59" i="3"/>
  <c r="P59" i="3"/>
  <c r="P60" i="3" s="1"/>
  <c r="M59" i="3"/>
  <c r="M60" i="3" s="1"/>
  <c r="L59" i="3"/>
  <c r="L60" i="3" s="1"/>
  <c r="K59" i="3"/>
  <c r="K60" i="3" s="1"/>
  <c r="J59" i="3"/>
  <c r="J60" i="3" s="1"/>
  <c r="I59" i="3"/>
  <c r="I60" i="3" s="1"/>
  <c r="H59" i="3"/>
  <c r="H60" i="3" s="1"/>
  <c r="G59" i="3"/>
  <c r="G60" i="3" s="1"/>
  <c r="F59" i="3"/>
  <c r="F60" i="3" s="1"/>
  <c r="D59" i="3"/>
  <c r="D60" i="3" s="1"/>
  <c r="C59" i="3"/>
  <c r="C60" i="3" s="1"/>
  <c r="B59" i="3"/>
  <c r="B60" i="3" s="1"/>
  <c r="O58" i="3"/>
  <c r="E58" i="3"/>
  <c r="E59" i="3" s="1"/>
  <c r="N57" i="3"/>
  <c r="O57" i="3" s="1"/>
  <c r="S57" i="3" s="1"/>
  <c r="R52" i="3"/>
  <c r="O52" i="3"/>
  <c r="L52" i="3"/>
  <c r="L53" i="3" s="1"/>
  <c r="F52" i="3"/>
  <c r="S52" i="3" s="1"/>
  <c r="R51" i="3"/>
  <c r="Q51" i="3"/>
  <c r="P51" i="3"/>
  <c r="N51" i="3"/>
  <c r="M51" i="3"/>
  <c r="O51" i="3" s="1"/>
  <c r="L51" i="3"/>
  <c r="K51" i="3"/>
  <c r="J51" i="3"/>
  <c r="G51" i="3"/>
  <c r="F51" i="3"/>
  <c r="E51" i="3"/>
  <c r="D51" i="3"/>
  <c r="O50" i="3"/>
  <c r="I50" i="3"/>
  <c r="H50" i="3"/>
  <c r="H51" i="3" s="1"/>
  <c r="C50" i="3"/>
  <c r="C51" i="3" s="1"/>
  <c r="B50" i="3"/>
  <c r="B51" i="3" s="1"/>
  <c r="O49" i="3"/>
  <c r="I49" i="3"/>
  <c r="I51" i="3" s="1"/>
  <c r="O48" i="3"/>
  <c r="E48" i="3"/>
  <c r="S48" i="3" s="1"/>
  <c r="O47" i="3"/>
  <c r="I47" i="3"/>
  <c r="D47" i="3"/>
  <c r="R46" i="3"/>
  <c r="Q46" i="3"/>
  <c r="P46" i="3"/>
  <c r="P53" i="3" s="1"/>
  <c r="N46" i="3"/>
  <c r="M46" i="3"/>
  <c r="L46" i="3"/>
  <c r="K46" i="3"/>
  <c r="J46" i="3"/>
  <c r="G46" i="3"/>
  <c r="G53" i="3" s="1"/>
  <c r="F46" i="3"/>
  <c r="B46" i="3"/>
  <c r="O45" i="3"/>
  <c r="E45" i="3"/>
  <c r="E46" i="3" s="1"/>
  <c r="R44" i="3"/>
  <c r="O44" i="3"/>
  <c r="I44" i="3"/>
  <c r="I46" i="3" s="1"/>
  <c r="H44" i="3"/>
  <c r="H46" i="3" s="1"/>
  <c r="D44" i="3"/>
  <c r="D46" i="3" s="1"/>
  <c r="C44" i="3"/>
  <c r="C46" i="3" s="1"/>
  <c r="O43" i="3"/>
  <c r="S43" i="3" s="1"/>
  <c r="R42" i="3"/>
  <c r="R63" i="3" s="1"/>
  <c r="N42" i="3"/>
  <c r="I42" i="3"/>
  <c r="H42" i="3"/>
  <c r="H63" i="3" s="1"/>
  <c r="C42" i="3"/>
  <c r="O41" i="3"/>
  <c r="J41" i="3"/>
  <c r="F41" i="3"/>
  <c r="B41" i="3"/>
  <c r="O40" i="3"/>
  <c r="K40" i="3"/>
  <c r="S40" i="3" s="1"/>
  <c r="O39" i="3"/>
  <c r="H39" i="3"/>
  <c r="S39" i="3" s="1"/>
  <c r="O38" i="3"/>
  <c r="J38" i="3"/>
  <c r="S38" i="3" s="1"/>
  <c r="S37" i="3"/>
  <c r="O37" i="3"/>
  <c r="I37" i="3"/>
  <c r="H37" i="3"/>
  <c r="G37" i="3"/>
  <c r="B37" i="3"/>
  <c r="O36" i="3"/>
  <c r="S36" i="3" s="1"/>
  <c r="R35" i="3"/>
  <c r="Q35" i="3"/>
  <c r="P35" i="3"/>
  <c r="N35" i="3"/>
  <c r="M35" i="3"/>
  <c r="O35" i="3" s="1"/>
  <c r="L35" i="3"/>
  <c r="K35" i="3"/>
  <c r="J35" i="3"/>
  <c r="I35" i="3"/>
  <c r="H35" i="3"/>
  <c r="G35" i="3"/>
  <c r="F35" i="3"/>
  <c r="E35" i="3"/>
  <c r="D35" i="3"/>
  <c r="C35" i="3"/>
  <c r="B35" i="3"/>
  <c r="O34" i="3"/>
  <c r="S34" i="3" s="1"/>
  <c r="N34" i="3"/>
  <c r="O33" i="3"/>
  <c r="D33" i="3"/>
  <c r="R32" i="3"/>
  <c r="Q32" i="3"/>
  <c r="P32" i="3"/>
  <c r="M32" i="3"/>
  <c r="L32" i="3"/>
  <c r="K32" i="3"/>
  <c r="J32" i="3"/>
  <c r="I32" i="3"/>
  <c r="H32" i="3"/>
  <c r="G32" i="3"/>
  <c r="F32" i="3"/>
  <c r="E32" i="3"/>
  <c r="D32" i="3"/>
  <c r="C32" i="3"/>
  <c r="B32" i="3"/>
  <c r="N31" i="3"/>
  <c r="O31" i="3" s="1"/>
  <c r="S31" i="3" s="1"/>
  <c r="N30" i="3"/>
  <c r="O30" i="3" s="1"/>
  <c r="S30" i="3" s="1"/>
  <c r="N29" i="3"/>
  <c r="N32" i="3" s="1"/>
  <c r="O28" i="3"/>
  <c r="S28" i="3" s="1"/>
  <c r="O24" i="3"/>
  <c r="S24" i="3" s="1"/>
  <c r="N24" i="3"/>
  <c r="O22" i="3"/>
  <c r="J22" i="3"/>
  <c r="O21" i="3"/>
  <c r="I21" i="3"/>
  <c r="R20" i="3"/>
  <c r="R23" i="3" s="1"/>
  <c r="R25" i="3" s="1"/>
  <c r="R26" i="3" s="1"/>
  <c r="Q20" i="3"/>
  <c r="P20" i="3"/>
  <c r="N20" i="3"/>
  <c r="M20" i="3"/>
  <c r="L20" i="3"/>
  <c r="L23" i="3" s="1"/>
  <c r="K20" i="3"/>
  <c r="K23" i="3" s="1"/>
  <c r="J20" i="3"/>
  <c r="H20" i="3"/>
  <c r="G20" i="3"/>
  <c r="G23" i="3" s="1"/>
  <c r="F20" i="3"/>
  <c r="F23" i="3" s="1"/>
  <c r="E20" i="3"/>
  <c r="E23" i="3" s="1"/>
  <c r="B20" i="3"/>
  <c r="B23" i="3" s="1"/>
  <c r="O19" i="3"/>
  <c r="I19" i="3"/>
  <c r="I20" i="3" s="1"/>
  <c r="O18" i="3"/>
  <c r="D18" i="3"/>
  <c r="D20" i="3" s="1"/>
  <c r="D23" i="3" s="1"/>
  <c r="D25" i="3" s="1"/>
  <c r="D26" i="3" s="1"/>
  <c r="O17" i="3"/>
  <c r="C17" i="3"/>
  <c r="O16" i="3"/>
  <c r="S16" i="3" s="1"/>
  <c r="O15" i="3"/>
  <c r="I15" i="3"/>
  <c r="H15" i="3"/>
  <c r="H23" i="3" s="1"/>
  <c r="D15" i="3"/>
  <c r="O14" i="3"/>
  <c r="C14" i="3"/>
  <c r="S14" i="3" s="1"/>
  <c r="Q13" i="3"/>
  <c r="Q23" i="3" s="1"/>
  <c r="P13" i="3"/>
  <c r="P23" i="3" s="1"/>
  <c r="P25" i="3" s="1"/>
  <c r="P26" i="3" s="1"/>
  <c r="O13" i="3"/>
  <c r="N12" i="3"/>
  <c r="O12" i="3" s="1"/>
  <c r="S12" i="3" s="1"/>
  <c r="O11" i="3"/>
  <c r="S11" i="3" s="1"/>
  <c r="R10" i="3"/>
  <c r="Q10" i="3"/>
  <c r="P10" i="3"/>
  <c r="M10" i="3"/>
  <c r="L10" i="3"/>
  <c r="J10" i="3"/>
  <c r="I10" i="3"/>
  <c r="G10" i="3"/>
  <c r="F10" i="3"/>
  <c r="D10" i="3"/>
  <c r="C10" i="3"/>
  <c r="B10" i="3"/>
  <c r="N9" i="3"/>
  <c r="N10" i="3" s="1"/>
  <c r="O8" i="3"/>
  <c r="K8" i="3"/>
  <c r="K10" i="3" s="1"/>
  <c r="K25" i="3" s="1"/>
  <c r="K26" i="3" s="1"/>
  <c r="H8" i="3"/>
  <c r="H10" i="3" s="1"/>
  <c r="E8" i="3"/>
  <c r="E10" i="3" s="1"/>
  <c r="O7" i="3"/>
  <c r="S7" i="3" s="1"/>
  <c r="B86" i="2"/>
  <c r="B85" i="2"/>
  <c r="B87" i="2" s="1"/>
  <c r="B84" i="2"/>
  <c r="B88" i="2" s="1"/>
  <c r="B89" i="2" s="1"/>
  <c r="B79" i="2"/>
  <c r="B77" i="2"/>
  <c r="B78" i="2" s="1"/>
  <c r="B76" i="2"/>
  <c r="B75" i="2"/>
  <c r="B74" i="2"/>
  <c r="B73" i="2"/>
  <c r="B72" i="2"/>
  <c r="B71" i="2"/>
  <c r="B69" i="2"/>
  <c r="B68" i="2"/>
  <c r="B67" i="2"/>
  <c r="B70" i="2" s="1"/>
  <c r="B66" i="2"/>
  <c r="B65" i="2"/>
  <c r="B64" i="2"/>
  <c r="B63" i="2"/>
  <c r="B62" i="2"/>
  <c r="B61" i="2"/>
  <c r="B60" i="2"/>
  <c r="B57" i="2"/>
  <c r="B56" i="2"/>
  <c r="B55" i="2"/>
  <c r="B54" i="2"/>
  <c r="B53" i="2"/>
  <c r="B52" i="2"/>
  <c r="B58" i="2" s="1"/>
  <c r="B51" i="2"/>
  <c r="B50" i="2"/>
  <c r="B48" i="2"/>
  <c r="B47" i="2"/>
  <c r="B46" i="2"/>
  <c r="B45" i="2"/>
  <c r="B44" i="2"/>
  <c r="B43" i="2"/>
  <c r="B42" i="2"/>
  <c r="B41" i="2"/>
  <c r="B49" i="2" s="1"/>
  <c r="B36" i="2"/>
  <c r="B35" i="2"/>
  <c r="B37" i="2" s="1"/>
  <c r="B34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33" i="2" s="1"/>
  <c r="B14" i="2"/>
  <c r="B13" i="2"/>
  <c r="B12" i="2"/>
  <c r="B11" i="2"/>
  <c r="B9" i="2"/>
  <c r="B8" i="2"/>
  <c r="B10" i="2" s="1"/>
  <c r="B58" i="1"/>
  <c r="B57" i="1"/>
  <c r="B59" i="1" s="1"/>
  <c r="B60" i="1" s="1"/>
  <c r="B52" i="1"/>
  <c r="B50" i="1"/>
  <c r="B49" i="1"/>
  <c r="B51" i="1" s="1"/>
  <c r="B48" i="1"/>
  <c r="B47" i="1"/>
  <c r="B45" i="1"/>
  <c r="B46" i="1" s="1"/>
  <c r="B44" i="1"/>
  <c r="B42" i="1"/>
  <c r="B41" i="1"/>
  <c r="B40" i="1"/>
  <c r="B39" i="1"/>
  <c r="B38" i="1"/>
  <c r="B37" i="1"/>
  <c r="B34" i="1"/>
  <c r="B35" i="1" s="1"/>
  <c r="B33" i="1"/>
  <c r="B31" i="1"/>
  <c r="B30" i="1"/>
  <c r="B29" i="1"/>
  <c r="B32" i="1" s="1"/>
  <c r="B24" i="1"/>
  <c r="B22" i="1"/>
  <c r="B21" i="1"/>
  <c r="B20" i="1"/>
  <c r="B19" i="1"/>
  <c r="B18" i="1"/>
  <c r="B17" i="1"/>
  <c r="B15" i="1"/>
  <c r="B14" i="1"/>
  <c r="B13" i="1"/>
  <c r="B12" i="1"/>
  <c r="B23" i="1" s="1"/>
  <c r="B10" i="1"/>
  <c r="B25" i="1" s="1"/>
  <c r="B26" i="1" s="1"/>
  <c r="B9" i="1"/>
  <c r="B8" i="1"/>
  <c r="B57" i="4" l="1"/>
  <c r="B58" i="4" s="1"/>
  <c r="B61" i="4" s="1"/>
  <c r="B62" i="4" s="1"/>
  <c r="B18" i="4"/>
  <c r="B19" i="4" s="1"/>
  <c r="B20" i="4" s="1"/>
  <c r="S19" i="3"/>
  <c r="L54" i="3"/>
  <c r="S49" i="3"/>
  <c r="J63" i="3"/>
  <c r="S17" i="3"/>
  <c r="L25" i="3"/>
  <c r="L26" i="3" s="1"/>
  <c r="L55" i="3" s="1"/>
  <c r="L61" i="3" s="1"/>
  <c r="L64" i="3" s="1"/>
  <c r="L65" i="3" s="1"/>
  <c r="F25" i="3"/>
  <c r="F26" i="3" s="1"/>
  <c r="G25" i="3"/>
  <c r="G26" i="3" s="1"/>
  <c r="E53" i="3"/>
  <c r="E54" i="3" s="1"/>
  <c r="S47" i="3"/>
  <c r="S8" i="3"/>
  <c r="C20" i="3"/>
  <c r="C23" i="3" s="1"/>
  <c r="C25" i="3" s="1"/>
  <c r="C26" i="3" s="1"/>
  <c r="C55" i="3" s="1"/>
  <c r="C61" i="3" s="1"/>
  <c r="C64" i="3" s="1"/>
  <c r="C65" i="3" s="1"/>
  <c r="N53" i="3"/>
  <c r="N54" i="3" s="1"/>
  <c r="R53" i="3"/>
  <c r="S15" i="3"/>
  <c r="S21" i="3"/>
  <c r="P54" i="3"/>
  <c r="P55" i="3" s="1"/>
  <c r="P61" i="3" s="1"/>
  <c r="P64" i="3" s="1"/>
  <c r="P65" i="3" s="1"/>
  <c r="S46" i="3"/>
  <c r="D53" i="3"/>
  <c r="D54" i="3" s="1"/>
  <c r="D55" i="3" s="1"/>
  <c r="D61" i="3" s="1"/>
  <c r="D64" i="3" s="1"/>
  <c r="D65" i="3" s="1"/>
  <c r="S22" i="3"/>
  <c r="B53" i="3"/>
  <c r="B54" i="3" s="1"/>
  <c r="H53" i="3"/>
  <c r="S13" i="3"/>
  <c r="J23" i="3"/>
  <c r="J25" i="3" s="1"/>
  <c r="J26" i="3" s="1"/>
  <c r="S33" i="3"/>
  <c r="F53" i="3"/>
  <c r="I53" i="3"/>
  <c r="I54" i="3" s="1"/>
  <c r="O46" i="3"/>
  <c r="S35" i="3"/>
  <c r="K53" i="3"/>
  <c r="K54" i="3" s="1"/>
  <c r="K55" i="3" s="1"/>
  <c r="K61" i="3" s="1"/>
  <c r="K64" i="3" s="1"/>
  <c r="K65" i="3" s="1"/>
  <c r="Q25" i="3"/>
  <c r="Q26" i="3" s="1"/>
  <c r="S18" i="3"/>
  <c r="S41" i="3"/>
  <c r="M53" i="3"/>
  <c r="M54" i="3" s="1"/>
  <c r="H25" i="3"/>
  <c r="H26" i="3" s="1"/>
  <c r="O20" i="3"/>
  <c r="H54" i="3"/>
  <c r="S45" i="3"/>
  <c r="Q53" i="3"/>
  <c r="Q54" i="3" s="1"/>
  <c r="E60" i="3"/>
  <c r="B25" i="3"/>
  <c r="R54" i="3"/>
  <c r="R55" i="3" s="1"/>
  <c r="R61" i="3" s="1"/>
  <c r="R64" i="3" s="1"/>
  <c r="R65" i="3" s="1"/>
  <c r="O32" i="3"/>
  <c r="S32" i="3" s="1"/>
  <c r="O60" i="3"/>
  <c r="F54" i="3"/>
  <c r="E25" i="3"/>
  <c r="E26" i="3" s="1"/>
  <c r="G54" i="3"/>
  <c r="S51" i="3"/>
  <c r="O9" i="3"/>
  <c r="S9" i="3" s="1"/>
  <c r="N23" i="3"/>
  <c r="N25" i="3" s="1"/>
  <c r="N26" i="3" s="1"/>
  <c r="N55" i="3" s="1"/>
  <c r="N61" i="3" s="1"/>
  <c r="O29" i="3"/>
  <c r="S29" i="3" s="1"/>
  <c r="J53" i="3"/>
  <c r="O10" i="3"/>
  <c r="O42" i="3"/>
  <c r="S42" i="3" s="1"/>
  <c r="S50" i="3"/>
  <c r="N59" i="3"/>
  <c r="N60" i="3" s="1"/>
  <c r="C53" i="3"/>
  <c r="C54" i="3" s="1"/>
  <c r="O59" i="3"/>
  <c r="S59" i="3" s="1"/>
  <c r="M23" i="3"/>
  <c r="S44" i="3"/>
  <c r="S58" i="3"/>
  <c r="I23" i="3"/>
  <c r="I25" i="3" s="1"/>
  <c r="I26" i="3" s="1"/>
  <c r="S10" i="3"/>
  <c r="B81" i="2"/>
  <c r="B38" i="2"/>
  <c r="B39" i="2" s="1"/>
  <c r="B80" i="2"/>
  <c r="B53" i="1"/>
  <c r="B54" i="1" s="1"/>
  <c r="B55" i="1" s="1"/>
  <c r="B61" i="1" s="1"/>
  <c r="O23" i="3" l="1"/>
  <c r="G55" i="3"/>
  <c r="G61" i="3" s="1"/>
  <c r="G64" i="3" s="1"/>
  <c r="G65" i="3" s="1"/>
  <c r="F55" i="3"/>
  <c r="F61" i="3" s="1"/>
  <c r="F64" i="3" s="1"/>
  <c r="F65" i="3" s="1"/>
  <c r="Q55" i="3"/>
  <c r="Q61" i="3" s="1"/>
  <c r="Q64" i="3" s="1"/>
  <c r="Q65" i="3" s="1"/>
  <c r="O54" i="3"/>
  <c r="I55" i="3"/>
  <c r="I61" i="3" s="1"/>
  <c r="I64" i="3" s="1"/>
  <c r="I65" i="3" s="1"/>
  <c r="O53" i="3"/>
  <c r="S53" i="3" s="1"/>
  <c r="H55" i="3"/>
  <c r="H61" i="3" s="1"/>
  <c r="H64" i="3" s="1"/>
  <c r="H65" i="3" s="1"/>
  <c r="S60" i="3"/>
  <c r="S20" i="3"/>
  <c r="J54" i="3"/>
  <c r="S54" i="3" s="1"/>
  <c r="S23" i="3"/>
  <c r="B26" i="3"/>
  <c r="M25" i="3"/>
  <c r="E55" i="3"/>
  <c r="E61" i="3" s="1"/>
  <c r="E64" i="3" s="1"/>
  <c r="E65" i="3" s="1"/>
  <c r="B82" i="2"/>
  <c r="B90" i="2" s="1"/>
  <c r="J55" i="3" l="1"/>
  <c r="J61" i="3" s="1"/>
  <c r="J64" i="3" s="1"/>
  <c r="J65" i="3" s="1"/>
  <c r="M26" i="3"/>
  <c r="O25" i="3"/>
  <c r="S25" i="3" s="1"/>
  <c r="B55" i="3"/>
  <c r="O26" i="3" l="1"/>
  <c r="S26" i="3" s="1"/>
  <c r="M55" i="3"/>
  <c r="B61" i="3"/>
  <c r="B64" i="3" s="1"/>
  <c r="B65" i="3" s="1"/>
  <c r="O55" i="3" l="1"/>
  <c r="S55" i="3" s="1"/>
  <c r="M61" i="3"/>
  <c r="O61" i="3" s="1"/>
  <c r="S61" i="3"/>
</calcChain>
</file>

<file path=xl/sharedStrings.xml><?xml version="1.0" encoding="utf-8"?>
<sst xmlns="http://schemas.openxmlformats.org/spreadsheetml/2006/main" count="294" uniqueCount="172">
  <si>
    <t>Total</t>
  </si>
  <si>
    <t>Revenue</t>
  </si>
  <si>
    <t xml:space="preserve">   Donations</t>
  </si>
  <si>
    <t xml:space="preserve">      Designated Sport Donation</t>
  </si>
  <si>
    <t xml:space="preserve">      General Fund Donations</t>
  </si>
  <si>
    <t xml:space="preserve">   Total Donations</t>
  </si>
  <si>
    <t xml:space="preserve">   Fundraising Income</t>
  </si>
  <si>
    <t xml:space="preserve">      Accrued Investment Income</t>
  </si>
  <si>
    <t xml:space="preserve">      Apparel Sales</t>
  </si>
  <si>
    <t xml:space="preserve">      Jack Scott Tournament</t>
  </si>
  <si>
    <t xml:space="preserve">      SchoolFundr</t>
  </si>
  <si>
    <t xml:space="preserve">      Snack Bar Income</t>
  </si>
  <si>
    <t xml:space="preserve">         B. Basketball</t>
  </si>
  <si>
    <t xml:space="preserve">         G. Basketball</t>
  </si>
  <si>
    <t xml:space="preserve">         Girls Soccer Snack Bar Income</t>
  </si>
  <si>
    <t xml:space="preserve">      Total Snack Bar Income</t>
  </si>
  <si>
    <t xml:space="preserve">      Soccer Tournament Income</t>
  </si>
  <si>
    <t xml:space="preserve">      Swim Invitational Income</t>
  </si>
  <si>
    <t xml:space="preserve">   Total Fundraising Income</t>
  </si>
  <si>
    <t xml:space="preserve">   Membership</t>
  </si>
  <si>
    <t>Total Revenue</t>
  </si>
  <si>
    <t>Gross Profit</t>
  </si>
  <si>
    <t>Expenditures</t>
  </si>
  <si>
    <t xml:space="preserve">   Administrative Expenses</t>
  </si>
  <si>
    <t xml:space="preserve">      Postage</t>
  </si>
  <si>
    <t xml:space="preserve">      Technology</t>
  </si>
  <si>
    <t xml:space="preserve">      Website</t>
  </si>
  <si>
    <t xml:space="preserve">   Total Administrative Expenses</t>
  </si>
  <si>
    <t xml:space="preserve">   Fundraising Expenses</t>
  </si>
  <si>
    <t xml:space="preserve">      Banner purchases</t>
  </si>
  <si>
    <t xml:space="preserve">   Total Fundraising Expenses</t>
  </si>
  <si>
    <t xml:space="preserve">   Sports Team Expenses</t>
  </si>
  <si>
    <t xml:space="preserve">      Athletic Equipment</t>
  </si>
  <si>
    <t xml:space="preserve">      Capital Equipment</t>
  </si>
  <si>
    <t xml:space="preserve">      Coach Training/Certifications</t>
  </si>
  <si>
    <t xml:space="preserve">      Coaches Apparel</t>
  </si>
  <si>
    <t xml:space="preserve">      General Programs Expense</t>
  </si>
  <si>
    <t xml:space="preserve">      Senior gifts</t>
  </si>
  <si>
    <t xml:space="preserve">      Stipends</t>
  </si>
  <si>
    <t xml:space="preserve">         Athletic Trainer</t>
  </si>
  <si>
    <t xml:space="preserve">         Direct Pay (1099)</t>
  </si>
  <si>
    <t xml:space="preserve">      Total Stipends</t>
  </si>
  <si>
    <t xml:space="preserve">      Team Awards/Celebration</t>
  </si>
  <si>
    <t xml:space="preserve">      Team Travel</t>
  </si>
  <si>
    <t xml:space="preserve">      Team Uniforms</t>
  </si>
  <si>
    <t xml:space="preserve">         Player Packs</t>
  </si>
  <si>
    <t xml:space="preserve">      Total Team Uniforms</t>
  </si>
  <si>
    <t xml:space="preserve">      Tournament Fees</t>
  </si>
  <si>
    <t xml:space="preserve">   Total Sports Team Expenses</t>
  </si>
  <si>
    <t>Total Expenditures</t>
  </si>
  <si>
    <t>Net Operating Revenue</t>
  </si>
  <si>
    <t>Other Revenue</t>
  </si>
  <si>
    <t xml:space="preserve">   Interest Income</t>
  </si>
  <si>
    <t xml:space="preserve">   Pass-Through Income</t>
  </si>
  <si>
    <t>Total Other Revenue</t>
  </si>
  <si>
    <t>Net Other Revenue</t>
  </si>
  <si>
    <t>Net Revenue</t>
  </si>
  <si>
    <t>Monday, Mar 10, 2025 02:37:55 PM GMT-7 - Cash Basis</t>
  </si>
  <si>
    <t>Rio Americano Athletic Boosters, Inc.</t>
  </si>
  <si>
    <t>Statement of Activity</t>
  </si>
  <si>
    <t>February 2025</t>
  </si>
  <si>
    <t>June 2024 - February 2025</t>
  </si>
  <si>
    <t xml:space="preserve">      Banner advertising</t>
  </si>
  <si>
    <t xml:space="preserve">      Cheer</t>
  </si>
  <si>
    <t xml:space="preserve">      Fall Ball (Baseball)</t>
  </si>
  <si>
    <t xml:space="preserve">      Firework Booth</t>
  </si>
  <si>
    <t xml:space="preserve">      Football Golf Tournament</t>
  </si>
  <si>
    <t xml:space="preserve">      Golf tournament</t>
  </si>
  <si>
    <t xml:space="preserve">         Football</t>
  </si>
  <si>
    <t xml:space="preserve">      SNAP Raise</t>
  </si>
  <si>
    <t xml:space="preserve">      Vertical Raise Trust</t>
  </si>
  <si>
    <t xml:space="preserve">      Water Polo Tournament</t>
  </si>
  <si>
    <t xml:space="preserve">   Summer Program Income</t>
  </si>
  <si>
    <t xml:space="preserve">   Total Summer Program Income</t>
  </si>
  <si>
    <t xml:space="preserve">      Bank Charges</t>
  </si>
  <si>
    <t xml:space="preserve">      HUDL</t>
  </si>
  <si>
    <t xml:space="preserve">      Liability Insurance</t>
  </si>
  <si>
    <t xml:space="preserve">      Tax Return</t>
  </si>
  <si>
    <t xml:space="preserve">      Cheer Pasta Feed</t>
  </si>
  <si>
    <t xml:space="preserve">      Fireworks Booth</t>
  </si>
  <si>
    <t xml:space="preserve">      Golf Tournament</t>
  </si>
  <si>
    <t xml:space="preserve">      Jack Scott Tournament costs</t>
  </si>
  <si>
    <t xml:space="preserve">      Snack Bar Expense</t>
  </si>
  <si>
    <t xml:space="preserve">      Field Maintenance</t>
  </si>
  <si>
    <t xml:space="preserve">      Supplies</t>
  </si>
  <si>
    <t xml:space="preserve">      Team Camps</t>
  </si>
  <si>
    <t xml:space="preserve">      Team Meals</t>
  </si>
  <si>
    <t xml:space="preserve">      Player Packs</t>
  </si>
  <si>
    <t xml:space="preserve">   Total Pass-Through Income</t>
  </si>
  <si>
    <t>Monday, Mar 10, 2025 02:42:21 PM GMT-7 - Cash Basis</t>
  </si>
  <si>
    <t>Baseball</t>
  </si>
  <si>
    <t>Basketball - Boys</t>
  </si>
  <si>
    <t>Basketball - Girls</t>
  </si>
  <si>
    <t>Cheer</t>
  </si>
  <si>
    <t>Golf - Boys</t>
  </si>
  <si>
    <t>Lacrosse - Girls</t>
  </si>
  <si>
    <t>Soccer - Boys</t>
  </si>
  <si>
    <t>Soccer - Girls</t>
  </si>
  <si>
    <t>Swim &amp; Dive</t>
  </si>
  <si>
    <t>Tennis - Boys</t>
  </si>
  <si>
    <t>Track &amp; Field</t>
  </si>
  <si>
    <t>Unrestricted - General Fund</t>
  </si>
  <si>
    <t>Administration</t>
  </si>
  <si>
    <t>Total Unrestricted - General Fund</t>
  </si>
  <si>
    <t>Water Polo - Girls</t>
  </si>
  <si>
    <t>Water Polo- Boys</t>
  </si>
  <si>
    <t>Wrestling</t>
  </si>
  <si>
    <t>TOTAL</t>
  </si>
  <si>
    <t>Beginning Balance</t>
  </si>
  <si>
    <t>Covered by RAAB General</t>
  </si>
  <si>
    <t>Adjustment to last month's balance</t>
  </si>
  <si>
    <t>New Ending Balance</t>
  </si>
  <si>
    <t>Statement of Financial Position</t>
  </si>
  <si>
    <t>As of February 28, 2025</t>
  </si>
  <si>
    <t>ASSETS</t>
  </si>
  <si>
    <t xml:space="preserve">   Current Assets</t>
  </si>
  <si>
    <t xml:space="preserve">      Bank Accounts</t>
  </si>
  <si>
    <t xml:space="preserve">         Bank of America Checking 2</t>
  </si>
  <si>
    <t xml:space="preserve">         BofA Savings 2</t>
  </si>
  <si>
    <t xml:space="preserve">         CD Investments</t>
  </si>
  <si>
    <t xml:space="preserve">            CD Investment - Maturity 2.16.25</t>
  </si>
  <si>
    <t xml:space="preserve">            CD Investment - Maturity 7.16.25</t>
  </si>
  <si>
    <t xml:space="preserve">            CD Investment - Maturity 8.16.25</t>
  </si>
  <si>
    <t xml:space="preserve">            CD Investment - Maturity 9.25.25</t>
  </si>
  <si>
    <t xml:space="preserve">         Total CD Investments</t>
  </si>
  <si>
    <t xml:space="preserve">         PayPal - RAAB</t>
  </si>
  <si>
    <t xml:space="preserve">      Total Bank Accounts</t>
  </si>
  <si>
    <t xml:space="preserve">   Total Current Assets</t>
  </si>
  <si>
    <t>TOTAL ASSETS</t>
  </si>
  <si>
    <t>LIABILITIES AND EQUITY</t>
  </si>
  <si>
    <t xml:space="preserve">   Liabilities</t>
  </si>
  <si>
    <t xml:space="preserve">   Total Liabilities</t>
  </si>
  <si>
    <t xml:space="preserve">   Equity</t>
  </si>
  <si>
    <t xml:space="preserve">      Restricted Net Assets</t>
  </si>
  <si>
    <t xml:space="preserve">         Field of Dreams</t>
  </si>
  <si>
    <t xml:space="preserve">         Jack Scott Tournament</t>
  </si>
  <si>
    <t xml:space="preserve">         Team Funds</t>
  </si>
  <si>
    <t xml:space="preserve">            Athletic Director</t>
  </si>
  <si>
    <t xml:space="preserve">            Baseball</t>
  </si>
  <si>
    <t xml:space="preserve">            Basketball - Boys</t>
  </si>
  <si>
    <t xml:space="preserve">            Basketball - Girls</t>
  </si>
  <si>
    <t xml:space="preserve">            Cheer</t>
  </si>
  <si>
    <t xml:space="preserve">            Cross Country</t>
  </si>
  <si>
    <t xml:space="preserve">            Flag Football</t>
  </si>
  <si>
    <t xml:space="preserve">            Football</t>
  </si>
  <si>
    <t xml:space="preserve">            Golf - Boys</t>
  </si>
  <si>
    <t xml:space="preserve">            Golf - Girls</t>
  </si>
  <si>
    <t xml:space="preserve">            Lacrosse - Boys</t>
  </si>
  <si>
    <t xml:space="preserve">            Lacrosse - Girls</t>
  </si>
  <si>
    <t xml:space="preserve">            Soccer - Boys</t>
  </si>
  <si>
    <t xml:space="preserve">            Soccer - Girls</t>
  </si>
  <si>
    <t xml:space="preserve">            Softball</t>
  </si>
  <si>
    <t xml:space="preserve">            Swim &amp; Dive</t>
  </si>
  <si>
    <t xml:space="preserve">            Tennis - Boys</t>
  </si>
  <si>
    <t xml:space="preserve">            Tennis - Girls</t>
  </si>
  <si>
    <t xml:space="preserve">            Track &amp; Field</t>
  </si>
  <si>
    <t xml:space="preserve">            Volleyball - Boys</t>
  </si>
  <si>
    <t xml:space="preserve">            Volleyball - Girls</t>
  </si>
  <si>
    <t xml:space="preserve">            Water Polo - Boys</t>
  </si>
  <si>
    <t xml:space="preserve">               Water Polo - Boys - Scoreboard</t>
  </si>
  <si>
    <t xml:space="preserve">            Total Water Polo - Boys</t>
  </si>
  <si>
    <t xml:space="preserve">            Water Polo - Girls</t>
  </si>
  <si>
    <t xml:space="preserve">               Water Polo - Girls - Scoreboard</t>
  </si>
  <si>
    <t xml:space="preserve">            Total Water Polo - Girls</t>
  </si>
  <si>
    <t xml:space="preserve">            Wrestling</t>
  </si>
  <si>
    <t xml:space="preserve">         Total Team Funds</t>
  </si>
  <si>
    <t xml:space="preserve">      Total Restricted Net Assets</t>
  </si>
  <si>
    <t xml:space="preserve">      Unrestricted Net Assets</t>
  </si>
  <si>
    <t xml:space="preserve">      Net Revenue</t>
  </si>
  <si>
    <t xml:space="preserve">   Total Equity</t>
  </si>
  <si>
    <t>TOTAL LIABILITIES AND EQUITY</t>
  </si>
  <si>
    <t>Monday, Mar 10, 2025 03:29:48 PM GMT-7 - Cash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</si>
</sst>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0\ _€"/>
    <numFmt numFmtId="165" formatCode="&quot;$&quot;* #,##0.00\ _€"/>
  </numFmts>
  <fonts count="12" x14ac:knownFonts="1">
    <font>
      <sz val="11"/>
      <color indexed="8"/>
      <name val="Aptos Narrow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b/>
      <sz val="8"/>
      <color rgb="FFFF000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164" fontId="7" fillId="0" borderId="0" xfId="0" applyNumberFormat="1" applyFont="1" applyAlignment="1">
      <alignment wrapText="1"/>
    </xf>
    <xf numFmtId="0" fontId="6" fillId="0" borderId="0" xfId="0" applyFont="1"/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44" fontId="6" fillId="0" borderId="4" xfId="0" applyNumberFormat="1" applyFont="1" applyBorder="1"/>
    <xf numFmtId="44" fontId="6" fillId="0" borderId="4" xfId="0" applyNumberFormat="1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164" fontId="7" fillId="0" borderId="0" xfId="0" applyNumberFormat="1" applyFont="1" applyAlignment="1">
      <alignment horizontal="right" wrapText="1"/>
    </xf>
    <xf numFmtId="165" fontId="8" fillId="0" borderId="3" xfId="0" applyNumberFormat="1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0" fillId="0" borderId="0" xfId="0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97FC7-31E3-4AE4-A447-ABEF080633A3}">
  <dimension ref="A1:B66"/>
  <sheetViews>
    <sheetView tabSelected="1" workbookViewId="0">
      <selection activeCell="E2" sqref="E2"/>
    </sheetView>
  </sheetViews>
  <sheetFormatPr defaultRowHeight="15" x14ac:dyDescent="0.25"/>
  <cols>
    <col min="1" max="1" width="40.42578125" customWidth="1"/>
    <col min="2" max="2" width="32.7109375" customWidth="1"/>
  </cols>
  <sheetData>
    <row r="1" spans="1:2" ht="18" x14ac:dyDescent="0.25">
      <c r="A1" s="18" t="s">
        <v>58</v>
      </c>
      <c r="B1" s="19"/>
    </row>
    <row r="2" spans="1:2" ht="18" x14ac:dyDescent="0.25">
      <c r="A2" s="18" t="s">
        <v>112</v>
      </c>
      <c r="B2" s="19"/>
    </row>
    <row r="3" spans="1:2" x14ac:dyDescent="0.25">
      <c r="A3" s="20" t="s">
        <v>113</v>
      </c>
      <c r="B3" s="19"/>
    </row>
    <row r="5" spans="1:2" x14ac:dyDescent="0.25">
      <c r="A5" s="1"/>
      <c r="B5" s="14" t="s">
        <v>0</v>
      </c>
    </row>
    <row r="6" spans="1:2" x14ac:dyDescent="0.25">
      <c r="A6" s="15" t="s">
        <v>114</v>
      </c>
      <c r="B6" s="8"/>
    </row>
    <row r="7" spans="1:2" x14ac:dyDescent="0.25">
      <c r="A7" s="15" t="s">
        <v>115</v>
      </c>
      <c r="B7" s="8"/>
    </row>
    <row r="8" spans="1:2" x14ac:dyDescent="0.25">
      <c r="A8" s="15" t="s">
        <v>116</v>
      </c>
      <c r="B8" s="8"/>
    </row>
    <row r="9" spans="1:2" x14ac:dyDescent="0.25">
      <c r="A9" s="15" t="s">
        <v>117</v>
      </c>
      <c r="B9" s="16">
        <f>263557.07</f>
        <v>263557.07</v>
      </c>
    </row>
    <row r="10" spans="1:2" x14ac:dyDescent="0.25">
      <c r="A10" s="15" t="s">
        <v>118</v>
      </c>
      <c r="B10" s="16">
        <f>34738.42</f>
        <v>34738.42</v>
      </c>
    </row>
    <row r="11" spans="1:2" x14ac:dyDescent="0.25">
      <c r="A11" s="15" t="s">
        <v>119</v>
      </c>
      <c r="B11" s="16">
        <f>0</f>
        <v>0</v>
      </c>
    </row>
    <row r="12" spans="1:2" x14ac:dyDescent="0.25">
      <c r="A12" s="15" t="s">
        <v>120</v>
      </c>
      <c r="B12" s="16">
        <f>0</f>
        <v>0</v>
      </c>
    </row>
    <row r="13" spans="1:2" x14ac:dyDescent="0.25">
      <c r="A13" s="15" t="s">
        <v>121</v>
      </c>
      <c r="B13" s="16">
        <f>66378.41</f>
        <v>66378.41</v>
      </c>
    </row>
    <row r="14" spans="1:2" x14ac:dyDescent="0.25">
      <c r="A14" s="15" t="s">
        <v>122</v>
      </c>
      <c r="B14" s="16">
        <f>66585.41</f>
        <v>66585.41</v>
      </c>
    </row>
    <row r="15" spans="1:2" x14ac:dyDescent="0.25">
      <c r="A15" s="15" t="s">
        <v>123</v>
      </c>
      <c r="B15" s="16">
        <f>66897</f>
        <v>66897</v>
      </c>
    </row>
    <row r="16" spans="1:2" x14ac:dyDescent="0.25">
      <c r="A16" s="15" t="s">
        <v>124</v>
      </c>
      <c r="B16" s="17">
        <f>((((B11)+(B12))+(B13))+(B14))+(B15)</f>
        <v>199860.82</v>
      </c>
    </row>
    <row r="17" spans="1:2" x14ac:dyDescent="0.25">
      <c r="A17" s="15" t="s">
        <v>125</v>
      </c>
      <c r="B17" s="16">
        <f>10</f>
        <v>10</v>
      </c>
    </row>
    <row r="18" spans="1:2" x14ac:dyDescent="0.25">
      <c r="A18" s="15" t="s">
        <v>126</v>
      </c>
      <c r="B18" s="17">
        <f>(((B9)+(B10))+(B16))+(B17)</f>
        <v>498166.31</v>
      </c>
    </row>
    <row r="19" spans="1:2" x14ac:dyDescent="0.25">
      <c r="A19" s="15" t="s">
        <v>127</v>
      </c>
      <c r="B19" s="17">
        <f>B18</f>
        <v>498166.31</v>
      </c>
    </row>
    <row r="20" spans="1:2" x14ac:dyDescent="0.25">
      <c r="A20" s="15" t="s">
        <v>128</v>
      </c>
      <c r="B20" s="17">
        <f>B19</f>
        <v>498166.31</v>
      </c>
    </row>
    <row r="21" spans="1:2" x14ac:dyDescent="0.25">
      <c r="A21" s="15" t="s">
        <v>129</v>
      </c>
      <c r="B21" s="8"/>
    </row>
    <row r="22" spans="1:2" x14ac:dyDescent="0.25">
      <c r="A22" s="15" t="s">
        <v>130</v>
      </c>
      <c r="B22" s="8"/>
    </row>
    <row r="23" spans="1:2" x14ac:dyDescent="0.25">
      <c r="A23" s="15" t="s">
        <v>131</v>
      </c>
      <c r="B23" s="8"/>
    </row>
    <row r="24" spans="1:2" x14ac:dyDescent="0.25">
      <c r="A24" s="15" t="s">
        <v>132</v>
      </c>
      <c r="B24" s="8"/>
    </row>
    <row r="25" spans="1:2" x14ac:dyDescent="0.25">
      <c r="A25" s="15" t="s">
        <v>133</v>
      </c>
      <c r="B25" s="8"/>
    </row>
    <row r="26" spans="1:2" x14ac:dyDescent="0.25">
      <c r="A26" s="15" t="s">
        <v>134</v>
      </c>
      <c r="B26" s="16">
        <f>13128.71</f>
        <v>13128.71</v>
      </c>
    </row>
    <row r="27" spans="1:2" x14ac:dyDescent="0.25">
      <c r="A27" s="15" t="s">
        <v>135</v>
      </c>
      <c r="B27" s="16">
        <f>2000</f>
        <v>2000</v>
      </c>
    </row>
    <row r="28" spans="1:2" x14ac:dyDescent="0.25">
      <c r="A28" s="15" t="s">
        <v>136</v>
      </c>
      <c r="B28" s="8"/>
    </row>
    <row r="29" spans="1:2" x14ac:dyDescent="0.25">
      <c r="A29" s="15" t="s">
        <v>137</v>
      </c>
      <c r="B29" s="16">
        <f>0</f>
        <v>0</v>
      </c>
    </row>
    <row r="30" spans="1:2" x14ac:dyDescent="0.25">
      <c r="A30" s="15" t="s">
        <v>138</v>
      </c>
      <c r="B30" s="16">
        <f>1622.02</f>
        <v>1622.02</v>
      </c>
    </row>
    <row r="31" spans="1:2" x14ac:dyDescent="0.25">
      <c r="A31" s="15" t="s">
        <v>139</v>
      </c>
      <c r="B31" s="16">
        <f>1634.35</f>
        <v>1634.35</v>
      </c>
    </row>
    <row r="32" spans="1:2" x14ac:dyDescent="0.25">
      <c r="A32" s="15" t="s">
        <v>140</v>
      </c>
      <c r="B32" s="16">
        <f>6660.06</f>
        <v>6660.06</v>
      </c>
    </row>
    <row r="33" spans="1:2" x14ac:dyDescent="0.25">
      <c r="A33" s="15" t="s">
        <v>141</v>
      </c>
      <c r="B33" s="16">
        <f>4135.09</f>
        <v>4135.09</v>
      </c>
    </row>
    <row r="34" spans="1:2" x14ac:dyDescent="0.25">
      <c r="A34" s="15" t="s">
        <v>142</v>
      </c>
      <c r="B34" s="16">
        <f>0</f>
        <v>0</v>
      </c>
    </row>
    <row r="35" spans="1:2" x14ac:dyDescent="0.25">
      <c r="A35" s="15" t="s">
        <v>143</v>
      </c>
      <c r="B35" s="16">
        <f>3005.96</f>
        <v>3005.96</v>
      </c>
    </row>
    <row r="36" spans="1:2" x14ac:dyDescent="0.25">
      <c r="A36" s="15" t="s">
        <v>144</v>
      </c>
      <c r="B36" s="16">
        <f>4285.04</f>
        <v>4285.04</v>
      </c>
    </row>
    <row r="37" spans="1:2" x14ac:dyDescent="0.25">
      <c r="A37" s="15" t="s">
        <v>145</v>
      </c>
      <c r="B37" s="16">
        <f>-1575</f>
        <v>-1575</v>
      </c>
    </row>
    <row r="38" spans="1:2" x14ac:dyDescent="0.25">
      <c r="A38" s="15" t="s">
        <v>146</v>
      </c>
      <c r="B38" s="16">
        <f>0</f>
        <v>0</v>
      </c>
    </row>
    <row r="39" spans="1:2" x14ac:dyDescent="0.25">
      <c r="A39" s="15" t="s">
        <v>147</v>
      </c>
      <c r="B39" s="16">
        <f>1901.27</f>
        <v>1901.27</v>
      </c>
    </row>
    <row r="40" spans="1:2" x14ac:dyDescent="0.25">
      <c r="A40" s="15" t="s">
        <v>148</v>
      </c>
      <c r="B40" s="16">
        <f>9088.74</f>
        <v>9088.74</v>
      </c>
    </row>
    <row r="41" spans="1:2" x14ac:dyDescent="0.25">
      <c r="A41" s="15" t="s">
        <v>149</v>
      </c>
      <c r="B41" s="16">
        <f>2453.98</f>
        <v>2453.98</v>
      </c>
    </row>
    <row r="42" spans="1:2" x14ac:dyDescent="0.25">
      <c r="A42" s="15" t="s">
        <v>150</v>
      </c>
      <c r="B42" s="16">
        <f>23439.09</f>
        <v>23439.09</v>
      </c>
    </row>
    <row r="43" spans="1:2" x14ac:dyDescent="0.25">
      <c r="A43" s="15" t="s">
        <v>151</v>
      </c>
      <c r="B43" s="16">
        <f>511.23</f>
        <v>511.23</v>
      </c>
    </row>
    <row r="44" spans="1:2" x14ac:dyDescent="0.25">
      <c r="A44" s="15" t="s">
        <v>152</v>
      </c>
      <c r="B44" s="16">
        <f>6628.42</f>
        <v>6628.42</v>
      </c>
    </row>
    <row r="45" spans="1:2" x14ac:dyDescent="0.25">
      <c r="A45" s="15" t="s">
        <v>153</v>
      </c>
      <c r="B45" s="16">
        <f>656.37</f>
        <v>656.37</v>
      </c>
    </row>
    <row r="46" spans="1:2" x14ac:dyDescent="0.25">
      <c r="A46" s="15" t="s">
        <v>154</v>
      </c>
      <c r="B46" s="16">
        <f>3512.07</f>
        <v>3512.07</v>
      </c>
    </row>
    <row r="47" spans="1:2" x14ac:dyDescent="0.25">
      <c r="A47" s="15" t="s">
        <v>155</v>
      </c>
      <c r="B47" s="16">
        <f>3138.64</f>
        <v>3138.64</v>
      </c>
    </row>
    <row r="48" spans="1:2" x14ac:dyDescent="0.25">
      <c r="A48" s="15" t="s">
        <v>156</v>
      </c>
      <c r="B48" s="16">
        <f>542.63</f>
        <v>542.63</v>
      </c>
    </row>
    <row r="49" spans="1:2" x14ac:dyDescent="0.25">
      <c r="A49" s="15" t="s">
        <v>157</v>
      </c>
      <c r="B49" s="16">
        <f>3378.55</f>
        <v>3378.55</v>
      </c>
    </row>
    <row r="50" spans="1:2" x14ac:dyDescent="0.25">
      <c r="A50" s="15" t="s">
        <v>158</v>
      </c>
      <c r="B50" s="16">
        <f>6754.46</f>
        <v>6754.46</v>
      </c>
    </row>
    <row r="51" spans="1:2" x14ac:dyDescent="0.25">
      <c r="A51" s="15" t="s">
        <v>159</v>
      </c>
      <c r="B51" s="16">
        <f>3071.78</f>
        <v>3071.78</v>
      </c>
    </row>
    <row r="52" spans="1:2" x14ac:dyDescent="0.25">
      <c r="A52" s="15" t="s">
        <v>160</v>
      </c>
      <c r="B52" s="17">
        <f>(B50)+(B51)</f>
        <v>9826.24</v>
      </c>
    </row>
    <row r="53" spans="1:2" x14ac:dyDescent="0.25">
      <c r="A53" s="15" t="s">
        <v>161</v>
      </c>
      <c r="B53" s="16">
        <f>9845.38</f>
        <v>9845.3799999999992</v>
      </c>
    </row>
    <row r="54" spans="1:2" x14ac:dyDescent="0.25">
      <c r="A54" s="15" t="s">
        <v>162</v>
      </c>
      <c r="B54" s="16">
        <f>7366.49</f>
        <v>7366.49</v>
      </c>
    </row>
    <row r="55" spans="1:2" x14ac:dyDescent="0.25">
      <c r="A55" s="15" t="s">
        <v>163</v>
      </c>
      <c r="B55" s="17">
        <f>(B53)+(B54)</f>
        <v>17211.87</v>
      </c>
    </row>
    <row r="56" spans="1:2" x14ac:dyDescent="0.25">
      <c r="A56" s="15" t="s">
        <v>164</v>
      </c>
      <c r="B56" s="16">
        <f>6680.92</f>
        <v>6680.92</v>
      </c>
    </row>
    <row r="57" spans="1:2" x14ac:dyDescent="0.25">
      <c r="A57" s="15" t="s">
        <v>165</v>
      </c>
      <c r="B57" s="17">
        <f>((((((((((((((((((((((((B28)+(B29))+(B30))+(B31))+(B32))+(B33))+(B34))+(B35))+(B36))+(B37))+(B38))+(B39))+(B40))+(B41))+(B42))+(B43))+(B44))+(B45))+(B46))+(B47))+(B48))+(B49))+(B52))+(B55))+(B56)</f>
        <v>108737.54000000002</v>
      </c>
    </row>
    <row r="58" spans="1:2" x14ac:dyDescent="0.25">
      <c r="A58" s="15" t="s">
        <v>166</v>
      </c>
      <c r="B58" s="17">
        <f>(((B25)+(B26))+(B27))+(B57)</f>
        <v>123866.25000000003</v>
      </c>
    </row>
    <row r="59" spans="1:2" x14ac:dyDescent="0.25">
      <c r="A59" s="15" t="s">
        <v>167</v>
      </c>
      <c r="B59" s="16">
        <f>336476.11</f>
        <v>336476.11</v>
      </c>
    </row>
    <row r="60" spans="1:2" x14ac:dyDescent="0.25">
      <c r="A60" s="15" t="s">
        <v>168</v>
      </c>
      <c r="B60" s="16">
        <f>37823.95</f>
        <v>37823.949999999997</v>
      </c>
    </row>
    <row r="61" spans="1:2" x14ac:dyDescent="0.25">
      <c r="A61" s="15" t="s">
        <v>169</v>
      </c>
      <c r="B61" s="17">
        <f>((B58)+(B59))+(B60)</f>
        <v>498166.31</v>
      </c>
    </row>
    <row r="62" spans="1:2" x14ac:dyDescent="0.25">
      <c r="A62" s="15" t="s">
        <v>170</v>
      </c>
      <c r="B62" s="17">
        <f>(B23)+(B61)</f>
        <v>498166.31</v>
      </c>
    </row>
    <row r="63" spans="1:2" x14ac:dyDescent="0.25">
      <c r="A63" s="15"/>
      <c r="B63" s="8"/>
    </row>
    <row r="66" spans="1:2" x14ac:dyDescent="0.25">
      <c r="A66" s="21" t="s">
        <v>171</v>
      </c>
      <c r="B66" s="19"/>
    </row>
  </sheetData>
  <mergeCells count="4">
    <mergeCell ref="A1:B1"/>
    <mergeCell ref="A2:B2"/>
    <mergeCell ref="A3:B3"/>
    <mergeCell ref="A66:B6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7ECA6-1FFB-44EC-BDB4-93B26BB6B56E}">
  <dimension ref="A1:B94"/>
  <sheetViews>
    <sheetView workbookViewId="0">
      <selection activeCell="A7" sqref="A7"/>
    </sheetView>
  </sheetViews>
  <sheetFormatPr defaultRowHeight="15" x14ac:dyDescent="0.25"/>
  <cols>
    <col min="1" max="1" width="33.5703125" customWidth="1"/>
    <col min="2" max="2" width="32.7109375" customWidth="1"/>
  </cols>
  <sheetData>
    <row r="1" spans="1:2" ht="18" x14ac:dyDescent="0.25">
      <c r="A1" s="22" t="s">
        <v>58</v>
      </c>
      <c r="B1" s="19"/>
    </row>
    <row r="2" spans="1:2" ht="18" x14ac:dyDescent="0.25">
      <c r="A2" s="22" t="s">
        <v>59</v>
      </c>
      <c r="B2" s="19"/>
    </row>
    <row r="3" spans="1:2" x14ac:dyDescent="0.25">
      <c r="A3" s="23" t="s">
        <v>61</v>
      </c>
      <c r="B3" s="19"/>
    </row>
    <row r="5" spans="1:2" x14ac:dyDescent="0.25">
      <c r="A5" s="1"/>
      <c r="B5" s="2" t="s">
        <v>0</v>
      </c>
    </row>
    <row r="6" spans="1:2" x14ac:dyDescent="0.25">
      <c r="A6" s="3" t="s">
        <v>1</v>
      </c>
      <c r="B6" s="4"/>
    </row>
    <row r="7" spans="1:2" x14ac:dyDescent="0.25">
      <c r="A7" s="3" t="s">
        <v>2</v>
      </c>
      <c r="B7" s="4"/>
    </row>
    <row r="8" spans="1:2" x14ac:dyDescent="0.25">
      <c r="A8" s="3" t="s">
        <v>3</v>
      </c>
      <c r="B8" s="5">
        <f>32935.45</f>
        <v>32935.449999999997</v>
      </c>
    </row>
    <row r="9" spans="1:2" x14ac:dyDescent="0.25">
      <c r="A9" s="3" t="s">
        <v>4</v>
      </c>
      <c r="B9" s="5">
        <f>1928.22</f>
        <v>1928.22</v>
      </c>
    </row>
    <row r="10" spans="1:2" x14ac:dyDescent="0.25">
      <c r="A10" s="3" t="s">
        <v>5</v>
      </c>
      <c r="B10" s="7">
        <f>((B7)+(B8))+(B9)</f>
        <v>34863.67</v>
      </c>
    </row>
    <row r="11" spans="1:2" x14ac:dyDescent="0.25">
      <c r="A11" s="3" t="s">
        <v>6</v>
      </c>
      <c r="B11" s="5">
        <f>16053.59</f>
        <v>16053.59</v>
      </c>
    </row>
    <row r="12" spans="1:2" x14ac:dyDescent="0.25">
      <c r="A12" s="3" t="s">
        <v>7</v>
      </c>
      <c r="B12" s="5">
        <f>4860.82</f>
        <v>4860.82</v>
      </c>
    </row>
    <row r="13" spans="1:2" x14ac:dyDescent="0.25">
      <c r="A13" s="3" t="s">
        <v>8</v>
      </c>
      <c r="B13" s="5">
        <f>5944.16</f>
        <v>5944.16</v>
      </c>
    </row>
    <row r="14" spans="1:2" x14ac:dyDescent="0.25">
      <c r="A14" s="3" t="s">
        <v>62</v>
      </c>
      <c r="B14" s="5">
        <f>1200</f>
        <v>1200</v>
      </c>
    </row>
    <row r="15" spans="1:2" x14ac:dyDescent="0.25">
      <c r="A15" s="3" t="s">
        <v>63</v>
      </c>
      <c r="B15" s="5">
        <f>15814.23</f>
        <v>15814.23</v>
      </c>
    </row>
    <row r="16" spans="1:2" x14ac:dyDescent="0.25">
      <c r="A16" s="3" t="s">
        <v>64</v>
      </c>
      <c r="B16" s="5">
        <f>12975</f>
        <v>12975</v>
      </c>
    </row>
    <row r="17" spans="1:2" x14ac:dyDescent="0.25">
      <c r="A17" s="3" t="s">
        <v>65</v>
      </c>
      <c r="B17" s="5">
        <f>56167.67</f>
        <v>56167.67</v>
      </c>
    </row>
    <row r="18" spans="1:2" x14ac:dyDescent="0.25">
      <c r="A18" s="3" t="s">
        <v>66</v>
      </c>
      <c r="B18" s="5">
        <f>22410.17</f>
        <v>22410.17</v>
      </c>
    </row>
    <row r="19" spans="1:2" x14ac:dyDescent="0.25">
      <c r="A19" s="3" t="s">
        <v>67</v>
      </c>
      <c r="B19" s="5">
        <f>60</f>
        <v>60</v>
      </c>
    </row>
    <row r="20" spans="1:2" x14ac:dyDescent="0.25">
      <c r="A20" s="3" t="s">
        <v>9</v>
      </c>
      <c r="B20" s="5">
        <f>967.3</f>
        <v>967.3</v>
      </c>
    </row>
    <row r="21" spans="1:2" x14ac:dyDescent="0.25">
      <c r="A21" s="3" t="s">
        <v>10</v>
      </c>
      <c r="B21" s="5">
        <f>34715.61</f>
        <v>34715.61</v>
      </c>
    </row>
    <row r="22" spans="1:2" x14ac:dyDescent="0.25">
      <c r="A22" s="3" t="s">
        <v>11</v>
      </c>
      <c r="B22" s="5">
        <f>534.07</f>
        <v>534.07000000000005</v>
      </c>
    </row>
    <row r="23" spans="1:2" x14ac:dyDescent="0.25">
      <c r="A23" s="3" t="s">
        <v>12</v>
      </c>
      <c r="B23" s="5">
        <f>2793.84</f>
        <v>2793.84</v>
      </c>
    </row>
    <row r="24" spans="1:2" x14ac:dyDescent="0.25">
      <c r="A24" s="3" t="s">
        <v>68</v>
      </c>
      <c r="B24" s="5">
        <f>11694.97</f>
        <v>11694.97</v>
      </c>
    </row>
    <row r="25" spans="1:2" x14ac:dyDescent="0.25">
      <c r="A25" s="3" t="s">
        <v>13</v>
      </c>
      <c r="B25" s="5">
        <f>1532.75</f>
        <v>1532.75</v>
      </c>
    </row>
    <row r="26" spans="1:2" x14ac:dyDescent="0.25">
      <c r="A26" s="3" t="s">
        <v>14</v>
      </c>
      <c r="B26" s="5">
        <f>341.25</f>
        <v>341.25</v>
      </c>
    </row>
    <row r="27" spans="1:2" x14ac:dyDescent="0.25">
      <c r="A27" s="3" t="s">
        <v>15</v>
      </c>
      <c r="B27" s="7">
        <f>((((B22)+(B23))+(B24))+(B25))+(B26)</f>
        <v>16896.879999999997</v>
      </c>
    </row>
    <row r="28" spans="1:2" x14ac:dyDescent="0.25">
      <c r="A28" s="3" t="s">
        <v>69</v>
      </c>
      <c r="B28" s="5">
        <f>6951.45</f>
        <v>6951.45</v>
      </c>
    </row>
    <row r="29" spans="1:2" x14ac:dyDescent="0.25">
      <c r="A29" s="3" t="s">
        <v>16</v>
      </c>
      <c r="B29" s="5">
        <f>2550</f>
        <v>2550</v>
      </c>
    </row>
    <row r="30" spans="1:2" x14ac:dyDescent="0.25">
      <c r="A30" s="3" t="s">
        <v>17</v>
      </c>
      <c r="B30" s="5">
        <f>400</f>
        <v>400</v>
      </c>
    </row>
    <row r="31" spans="1:2" x14ac:dyDescent="0.25">
      <c r="A31" s="3" t="s">
        <v>70</v>
      </c>
      <c r="B31" s="5">
        <f>35422.09</f>
        <v>35422.089999999997</v>
      </c>
    </row>
    <row r="32" spans="1:2" x14ac:dyDescent="0.25">
      <c r="A32" s="3" t="s">
        <v>71</v>
      </c>
      <c r="B32" s="5">
        <f>1672.5</f>
        <v>1672.5</v>
      </c>
    </row>
    <row r="33" spans="1:2" x14ac:dyDescent="0.25">
      <c r="A33" s="3" t="s">
        <v>18</v>
      </c>
      <c r="B33" s="7">
        <f>((((((((((((((((B11)+(B12))+(B13))+(B14))+(B15))+(B16))+(B17))+(B18))+(B19))+(B20))+(B21))+(B27))+(B28))+(B29))+(B30))+(B31))+(B32)</f>
        <v>235061.47</v>
      </c>
    </row>
    <row r="34" spans="1:2" x14ac:dyDescent="0.25">
      <c r="A34" s="3" t="s">
        <v>19</v>
      </c>
      <c r="B34" s="5">
        <f>77556.17</f>
        <v>77556.17</v>
      </c>
    </row>
    <row r="35" spans="1:2" x14ac:dyDescent="0.25">
      <c r="A35" s="3" t="s">
        <v>72</v>
      </c>
      <c r="B35" s="5">
        <f>3811</f>
        <v>3811</v>
      </c>
    </row>
    <row r="36" spans="1:2" x14ac:dyDescent="0.25">
      <c r="A36" s="3" t="s">
        <v>63</v>
      </c>
      <c r="B36" s="5">
        <f>10200</f>
        <v>10200</v>
      </c>
    </row>
    <row r="37" spans="1:2" x14ac:dyDescent="0.25">
      <c r="A37" s="3" t="s">
        <v>73</v>
      </c>
      <c r="B37" s="7">
        <f>(B35)+(B36)</f>
        <v>14011</v>
      </c>
    </row>
    <row r="38" spans="1:2" x14ac:dyDescent="0.25">
      <c r="A38" s="3" t="s">
        <v>20</v>
      </c>
      <c r="B38" s="7">
        <f>(((B10)+(B33))+(B34))+(B37)</f>
        <v>361492.31</v>
      </c>
    </row>
    <row r="39" spans="1:2" x14ac:dyDescent="0.25">
      <c r="A39" s="3" t="s">
        <v>21</v>
      </c>
      <c r="B39" s="7">
        <f>(B38)-(0)</f>
        <v>361492.31</v>
      </c>
    </row>
    <row r="40" spans="1:2" x14ac:dyDescent="0.25">
      <c r="A40" s="3" t="s">
        <v>22</v>
      </c>
      <c r="B40" s="4"/>
    </row>
    <row r="41" spans="1:2" x14ac:dyDescent="0.25">
      <c r="A41" s="3" t="s">
        <v>23</v>
      </c>
      <c r="B41" s="5">
        <f>1412.63</f>
        <v>1412.63</v>
      </c>
    </row>
    <row r="42" spans="1:2" x14ac:dyDescent="0.25">
      <c r="A42" s="3" t="s">
        <v>74</v>
      </c>
      <c r="B42" s="5">
        <f>23.99</f>
        <v>23.99</v>
      </c>
    </row>
    <row r="43" spans="1:2" x14ac:dyDescent="0.25">
      <c r="A43" s="3" t="s">
        <v>75</v>
      </c>
      <c r="B43" s="5">
        <f>9500</f>
        <v>9500</v>
      </c>
    </row>
    <row r="44" spans="1:2" x14ac:dyDescent="0.25">
      <c r="A44" s="3" t="s">
        <v>76</v>
      </c>
      <c r="B44" s="5">
        <f>5018.4</f>
        <v>5018.3999999999996</v>
      </c>
    </row>
    <row r="45" spans="1:2" x14ac:dyDescent="0.25">
      <c r="A45" s="3" t="s">
        <v>24</v>
      </c>
      <c r="B45" s="5">
        <f>224.88</f>
        <v>224.88</v>
      </c>
    </row>
    <row r="46" spans="1:2" x14ac:dyDescent="0.25">
      <c r="A46" s="3" t="s">
        <v>77</v>
      </c>
      <c r="B46" s="5">
        <f>1900</f>
        <v>1900</v>
      </c>
    </row>
    <row r="47" spans="1:2" x14ac:dyDescent="0.25">
      <c r="A47" s="3" t="s">
        <v>25</v>
      </c>
      <c r="B47" s="5">
        <f>873</f>
        <v>873</v>
      </c>
    </row>
    <row r="48" spans="1:2" x14ac:dyDescent="0.25">
      <c r="A48" s="3" t="s">
        <v>26</v>
      </c>
      <c r="B48" s="5">
        <f>23.17</f>
        <v>23.17</v>
      </c>
    </row>
    <row r="49" spans="1:2" x14ac:dyDescent="0.25">
      <c r="A49" s="3" t="s">
        <v>27</v>
      </c>
      <c r="B49" s="7">
        <f>(((((((B41)+(B42))+(B43))+(B44))+(B45))+(B46))+(B47))+(B48)</f>
        <v>18976.07</v>
      </c>
    </row>
    <row r="50" spans="1:2" x14ac:dyDescent="0.25">
      <c r="A50" s="3" t="s">
        <v>28</v>
      </c>
      <c r="B50" s="5">
        <f>1935.4</f>
        <v>1935.4</v>
      </c>
    </row>
    <row r="51" spans="1:2" x14ac:dyDescent="0.25">
      <c r="A51" s="3" t="s">
        <v>29</v>
      </c>
      <c r="B51" s="5">
        <f>570.22</f>
        <v>570.22</v>
      </c>
    </row>
    <row r="52" spans="1:2" x14ac:dyDescent="0.25">
      <c r="A52" s="3" t="s">
        <v>78</v>
      </c>
      <c r="B52" s="5">
        <f>642.43</f>
        <v>642.42999999999995</v>
      </c>
    </row>
    <row r="53" spans="1:2" x14ac:dyDescent="0.25">
      <c r="A53" s="3" t="s">
        <v>79</v>
      </c>
      <c r="B53" s="5">
        <f>12086.71</f>
        <v>12086.71</v>
      </c>
    </row>
    <row r="54" spans="1:2" x14ac:dyDescent="0.25">
      <c r="A54" s="3" t="s">
        <v>66</v>
      </c>
      <c r="B54" s="5">
        <f>8587.98</f>
        <v>8587.98</v>
      </c>
    </row>
    <row r="55" spans="1:2" x14ac:dyDescent="0.25">
      <c r="A55" s="3" t="s">
        <v>80</v>
      </c>
      <c r="B55" s="5">
        <f>43.1</f>
        <v>43.1</v>
      </c>
    </row>
    <row r="56" spans="1:2" x14ac:dyDescent="0.25">
      <c r="A56" s="3" t="s">
        <v>81</v>
      </c>
      <c r="B56" s="5">
        <f>27.19</f>
        <v>27.19</v>
      </c>
    </row>
    <row r="57" spans="1:2" x14ac:dyDescent="0.25">
      <c r="A57" s="3" t="s">
        <v>82</v>
      </c>
      <c r="B57" s="5">
        <f>4204.09</f>
        <v>4204.09</v>
      </c>
    </row>
    <row r="58" spans="1:2" x14ac:dyDescent="0.25">
      <c r="A58" s="3" t="s">
        <v>30</v>
      </c>
      <c r="B58" s="7">
        <f>(((((((B50)+(B51))+(B52))+(B53))+(B54))+(B55))+(B56))+(B57)</f>
        <v>28097.119999999995</v>
      </c>
    </row>
    <row r="59" spans="1:2" x14ac:dyDescent="0.25">
      <c r="A59" s="3" t="s">
        <v>31</v>
      </c>
      <c r="B59" s="4"/>
    </row>
    <row r="60" spans="1:2" x14ac:dyDescent="0.25">
      <c r="A60" s="3" t="s">
        <v>32</v>
      </c>
      <c r="B60" s="5">
        <f>22968.16</f>
        <v>22968.16</v>
      </c>
    </row>
    <row r="61" spans="1:2" x14ac:dyDescent="0.25">
      <c r="A61" s="3" t="s">
        <v>33</v>
      </c>
      <c r="B61" s="5">
        <f>33510.33</f>
        <v>33510.33</v>
      </c>
    </row>
    <row r="62" spans="1:2" x14ac:dyDescent="0.25">
      <c r="A62" s="3" t="s">
        <v>34</v>
      </c>
      <c r="B62" s="5">
        <f>1379.49</f>
        <v>1379.49</v>
      </c>
    </row>
    <row r="63" spans="1:2" x14ac:dyDescent="0.25">
      <c r="A63" s="3" t="s">
        <v>35</v>
      </c>
      <c r="B63" s="5">
        <f>6432.13</f>
        <v>6432.13</v>
      </c>
    </row>
    <row r="64" spans="1:2" x14ac:dyDescent="0.25">
      <c r="A64" s="3" t="s">
        <v>83</v>
      </c>
      <c r="B64" s="5">
        <f>2948.57</f>
        <v>2948.57</v>
      </c>
    </row>
    <row r="65" spans="1:2" x14ac:dyDescent="0.25">
      <c r="A65" s="3" t="s">
        <v>36</v>
      </c>
      <c r="B65" s="5">
        <f>13537.99</f>
        <v>13537.99</v>
      </c>
    </row>
    <row r="66" spans="1:2" x14ac:dyDescent="0.25">
      <c r="A66" s="3" t="s">
        <v>37</v>
      </c>
      <c r="B66" s="5">
        <f>3657.24</f>
        <v>3657.24</v>
      </c>
    </row>
    <row r="67" spans="1:2" x14ac:dyDescent="0.25">
      <c r="A67" s="3" t="s">
        <v>38</v>
      </c>
      <c r="B67" s="5">
        <f>2765.86</f>
        <v>2765.86</v>
      </c>
    </row>
    <row r="68" spans="1:2" x14ac:dyDescent="0.25">
      <c r="A68" s="3" t="s">
        <v>39</v>
      </c>
      <c r="B68" s="5">
        <f>22763</f>
        <v>22763</v>
      </c>
    </row>
    <row r="69" spans="1:2" x14ac:dyDescent="0.25">
      <c r="A69" s="3" t="s">
        <v>40</v>
      </c>
      <c r="B69" s="5">
        <f>25559</f>
        <v>25559</v>
      </c>
    </row>
    <row r="70" spans="1:2" x14ac:dyDescent="0.25">
      <c r="A70" s="3" t="s">
        <v>41</v>
      </c>
      <c r="B70" s="7">
        <f>((B67)+(B68))+(B69)</f>
        <v>51087.86</v>
      </c>
    </row>
    <row r="71" spans="1:2" x14ac:dyDescent="0.25">
      <c r="A71" s="3" t="s">
        <v>84</v>
      </c>
      <c r="B71" s="5">
        <f>118.4</f>
        <v>118.4</v>
      </c>
    </row>
    <row r="72" spans="1:2" x14ac:dyDescent="0.25">
      <c r="A72" s="3" t="s">
        <v>42</v>
      </c>
      <c r="B72" s="5">
        <f>4567.51</f>
        <v>4567.51</v>
      </c>
    </row>
    <row r="73" spans="1:2" x14ac:dyDescent="0.25">
      <c r="A73" s="3" t="s">
        <v>85</v>
      </c>
      <c r="B73" s="5">
        <f>3825</f>
        <v>3825</v>
      </c>
    </row>
    <row r="74" spans="1:2" x14ac:dyDescent="0.25">
      <c r="A74" s="3" t="s">
        <v>86</v>
      </c>
      <c r="B74" s="5">
        <f>5213.72</f>
        <v>5213.72</v>
      </c>
    </row>
    <row r="75" spans="1:2" x14ac:dyDescent="0.25">
      <c r="A75" s="3" t="s">
        <v>43</v>
      </c>
      <c r="B75" s="5">
        <f>50577.24</f>
        <v>50577.24</v>
      </c>
    </row>
    <row r="76" spans="1:2" x14ac:dyDescent="0.25">
      <c r="A76" s="3" t="s">
        <v>44</v>
      </c>
      <c r="B76" s="5">
        <f>30091.72</f>
        <v>30091.72</v>
      </c>
    </row>
    <row r="77" spans="1:2" x14ac:dyDescent="0.25">
      <c r="A77" s="3" t="s">
        <v>45</v>
      </c>
      <c r="B77" s="5">
        <f>59031.34</f>
        <v>59031.34</v>
      </c>
    </row>
    <row r="78" spans="1:2" x14ac:dyDescent="0.25">
      <c r="A78" s="3" t="s">
        <v>46</v>
      </c>
      <c r="B78" s="7">
        <f>(B76)+(B77)</f>
        <v>89123.06</v>
      </c>
    </row>
    <row r="79" spans="1:2" x14ac:dyDescent="0.25">
      <c r="A79" s="3" t="s">
        <v>47</v>
      </c>
      <c r="B79" s="5">
        <f>24031.21</f>
        <v>24031.21</v>
      </c>
    </row>
    <row r="80" spans="1:2" x14ac:dyDescent="0.25">
      <c r="A80" s="3" t="s">
        <v>48</v>
      </c>
      <c r="B80" s="7">
        <f>(((((((((((((((B59)+(B60))+(B61))+(B62))+(B63))+(B64))+(B65))+(B66))+(B70))+(B71))+(B72))+(B73))+(B74))+(B75))+(B78))+(B79)</f>
        <v>312977.91000000003</v>
      </c>
    </row>
    <row r="81" spans="1:2" x14ac:dyDescent="0.25">
      <c r="A81" s="3" t="s">
        <v>49</v>
      </c>
      <c r="B81" s="7">
        <f>((B49)+(B58))+(B80)</f>
        <v>360051.10000000003</v>
      </c>
    </row>
    <row r="82" spans="1:2" x14ac:dyDescent="0.25">
      <c r="A82" s="3" t="s">
        <v>50</v>
      </c>
      <c r="B82" s="7">
        <f>(B39)-(B81)</f>
        <v>1441.2099999999627</v>
      </c>
    </row>
    <row r="83" spans="1:2" x14ac:dyDescent="0.25">
      <c r="A83" s="3" t="s">
        <v>51</v>
      </c>
      <c r="B83" s="4"/>
    </row>
    <row r="84" spans="1:2" x14ac:dyDescent="0.25">
      <c r="A84" s="3" t="s">
        <v>52</v>
      </c>
      <c r="B84" s="5">
        <f>19.97</f>
        <v>19.97</v>
      </c>
    </row>
    <row r="85" spans="1:2" x14ac:dyDescent="0.25">
      <c r="A85" s="3" t="s">
        <v>53</v>
      </c>
      <c r="B85" s="5">
        <f>30785</f>
        <v>30785</v>
      </c>
    </row>
    <row r="86" spans="1:2" x14ac:dyDescent="0.25">
      <c r="A86" s="3" t="s">
        <v>87</v>
      </c>
      <c r="B86" s="5">
        <f>5577.77</f>
        <v>5577.77</v>
      </c>
    </row>
    <row r="87" spans="1:2" x14ac:dyDescent="0.25">
      <c r="A87" s="3" t="s">
        <v>88</v>
      </c>
      <c r="B87" s="7">
        <f>(B85)+(B86)</f>
        <v>36362.770000000004</v>
      </c>
    </row>
    <row r="88" spans="1:2" x14ac:dyDescent="0.25">
      <c r="A88" s="3" t="s">
        <v>54</v>
      </c>
      <c r="B88" s="7">
        <f>(B84)+(B87)</f>
        <v>36382.740000000005</v>
      </c>
    </row>
    <row r="89" spans="1:2" x14ac:dyDescent="0.25">
      <c r="A89" s="3" t="s">
        <v>55</v>
      </c>
      <c r="B89" s="7">
        <f>(B88)-(0)</f>
        <v>36382.740000000005</v>
      </c>
    </row>
    <row r="90" spans="1:2" x14ac:dyDescent="0.25">
      <c r="A90" s="3" t="s">
        <v>56</v>
      </c>
      <c r="B90" s="7">
        <f>(B82)+(B89)</f>
        <v>37823.949999999968</v>
      </c>
    </row>
    <row r="91" spans="1:2" x14ac:dyDescent="0.25">
      <c r="A91" s="3"/>
      <c r="B91" s="4"/>
    </row>
    <row r="94" spans="1:2" x14ac:dyDescent="0.25">
      <c r="A94" s="24" t="s">
        <v>89</v>
      </c>
      <c r="B94" s="19"/>
    </row>
  </sheetData>
  <mergeCells count="4">
    <mergeCell ref="A1:B1"/>
    <mergeCell ref="A2:B2"/>
    <mergeCell ref="A3:B3"/>
    <mergeCell ref="A94:B9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5"/>
  <sheetViews>
    <sheetView topLeftCell="A6" workbookViewId="0">
      <selection activeCell="B15" sqref="B15"/>
    </sheetView>
  </sheetViews>
  <sheetFormatPr defaultRowHeight="15" x14ac:dyDescent="0.25"/>
  <cols>
    <col min="1" max="1" width="33.5703125" customWidth="1"/>
    <col min="2" max="2" width="32.7109375" customWidth="1"/>
  </cols>
  <sheetData>
    <row r="1" spans="1:2" ht="18" x14ac:dyDescent="0.25">
      <c r="A1" s="22" t="s">
        <v>58</v>
      </c>
      <c r="B1" s="19"/>
    </row>
    <row r="2" spans="1:2" ht="18" x14ac:dyDescent="0.25">
      <c r="A2" s="22" t="s">
        <v>59</v>
      </c>
      <c r="B2" s="19"/>
    </row>
    <row r="3" spans="1:2" x14ac:dyDescent="0.25">
      <c r="A3" s="23" t="s">
        <v>60</v>
      </c>
      <c r="B3" s="19"/>
    </row>
    <row r="5" spans="1:2" x14ac:dyDescent="0.25">
      <c r="A5" s="1"/>
      <c r="B5" s="2" t="s">
        <v>0</v>
      </c>
    </row>
    <row r="6" spans="1:2" x14ac:dyDescent="0.25">
      <c r="A6" s="3" t="s">
        <v>1</v>
      </c>
      <c r="B6" s="4"/>
    </row>
    <row r="7" spans="1:2" x14ac:dyDescent="0.25">
      <c r="A7" s="3" t="s">
        <v>2</v>
      </c>
      <c r="B7" s="4"/>
    </row>
    <row r="8" spans="1:2" x14ac:dyDescent="0.25">
      <c r="A8" s="3" t="s">
        <v>3</v>
      </c>
      <c r="B8" s="5">
        <f>1992.15</f>
        <v>1992.15</v>
      </c>
    </row>
    <row r="9" spans="1:2" x14ac:dyDescent="0.25">
      <c r="A9" s="3" t="s">
        <v>4</v>
      </c>
      <c r="B9" s="5">
        <f>31</f>
        <v>31</v>
      </c>
    </row>
    <row r="10" spans="1:2" x14ac:dyDescent="0.25">
      <c r="A10" s="3" t="s">
        <v>5</v>
      </c>
      <c r="B10" s="6">
        <f>((B7)+(B8))+(B9)</f>
        <v>2023.15</v>
      </c>
    </row>
    <row r="11" spans="1:2" x14ac:dyDescent="0.25">
      <c r="A11" s="3" t="s">
        <v>6</v>
      </c>
      <c r="B11" s="4"/>
    </row>
    <row r="12" spans="1:2" x14ac:dyDescent="0.25">
      <c r="A12" s="3" t="s">
        <v>7</v>
      </c>
      <c r="B12" s="5">
        <f>278.15</f>
        <v>278.14999999999998</v>
      </c>
    </row>
    <row r="13" spans="1:2" x14ac:dyDescent="0.25">
      <c r="A13" s="3" t="s">
        <v>8</v>
      </c>
      <c r="B13" s="5">
        <f>747</f>
        <v>747</v>
      </c>
    </row>
    <row r="14" spans="1:2" x14ac:dyDescent="0.25">
      <c r="A14" s="3" t="s">
        <v>9</v>
      </c>
      <c r="B14" s="5">
        <f>967.3</f>
        <v>967.3</v>
      </c>
    </row>
    <row r="15" spans="1:2" x14ac:dyDescent="0.25">
      <c r="A15" s="3" t="s">
        <v>10</v>
      </c>
      <c r="B15" s="5">
        <f>24085.58</f>
        <v>24085.58</v>
      </c>
    </row>
    <row r="16" spans="1:2" x14ac:dyDescent="0.25">
      <c r="A16" s="3" t="s">
        <v>11</v>
      </c>
      <c r="B16" s="4"/>
    </row>
    <row r="17" spans="1:2" x14ac:dyDescent="0.25">
      <c r="A17" s="3" t="s">
        <v>12</v>
      </c>
      <c r="B17" s="5">
        <f>511.27</f>
        <v>511.27</v>
      </c>
    </row>
    <row r="18" spans="1:2" x14ac:dyDescent="0.25">
      <c r="A18" s="3" t="s">
        <v>13</v>
      </c>
      <c r="B18" s="5">
        <f>626.42</f>
        <v>626.41999999999996</v>
      </c>
    </row>
    <row r="19" spans="1:2" x14ac:dyDescent="0.25">
      <c r="A19" s="3" t="s">
        <v>14</v>
      </c>
      <c r="B19" s="5">
        <f>341.25</f>
        <v>341.25</v>
      </c>
    </row>
    <row r="20" spans="1:2" x14ac:dyDescent="0.25">
      <c r="A20" s="3" t="s">
        <v>15</v>
      </c>
      <c r="B20" s="6">
        <f>(((B16)+(B17))+(B18))+(B19)</f>
        <v>1478.94</v>
      </c>
    </row>
    <row r="21" spans="1:2" x14ac:dyDescent="0.25">
      <c r="A21" s="3" t="s">
        <v>16</v>
      </c>
      <c r="B21" s="5">
        <f>425</f>
        <v>425</v>
      </c>
    </row>
    <row r="22" spans="1:2" x14ac:dyDescent="0.25">
      <c r="A22" s="3" t="s">
        <v>17</v>
      </c>
      <c r="B22" s="5">
        <f>400</f>
        <v>400</v>
      </c>
    </row>
    <row r="23" spans="1:2" x14ac:dyDescent="0.25">
      <c r="A23" s="3" t="s">
        <v>18</v>
      </c>
      <c r="B23" s="6">
        <f>(((((((B11)+(B12))+(B13))+(B14))+(B15))+(B20))+(B21))+(B22)</f>
        <v>28381.97</v>
      </c>
    </row>
    <row r="24" spans="1:2" x14ac:dyDescent="0.25">
      <c r="A24" s="3" t="s">
        <v>19</v>
      </c>
      <c r="B24" s="5">
        <f>15423.57</f>
        <v>15423.57</v>
      </c>
    </row>
    <row r="25" spans="1:2" x14ac:dyDescent="0.25">
      <c r="A25" s="3" t="s">
        <v>20</v>
      </c>
      <c r="B25" s="6">
        <f>((B10)+(B23))+(B24)</f>
        <v>45828.69</v>
      </c>
    </row>
    <row r="26" spans="1:2" x14ac:dyDescent="0.25">
      <c r="A26" s="3" t="s">
        <v>21</v>
      </c>
      <c r="B26" s="6">
        <f>(B25)-(0)</f>
        <v>45828.69</v>
      </c>
    </row>
    <row r="27" spans="1:2" x14ac:dyDescent="0.25">
      <c r="A27" s="3" t="s">
        <v>22</v>
      </c>
      <c r="B27" s="4"/>
    </row>
    <row r="28" spans="1:2" x14ac:dyDescent="0.25">
      <c r="A28" s="3" t="s">
        <v>23</v>
      </c>
      <c r="B28" s="4"/>
    </row>
    <row r="29" spans="1:2" x14ac:dyDescent="0.25">
      <c r="A29" s="3" t="s">
        <v>24</v>
      </c>
      <c r="B29" s="5">
        <f>105.53</f>
        <v>105.53</v>
      </c>
    </row>
    <row r="30" spans="1:2" x14ac:dyDescent="0.25">
      <c r="A30" s="3" t="s">
        <v>25</v>
      </c>
      <c r="B30" s="5">
        <f>99</f>
        <v>99</v>
      </c>
    </row>
    <row r="31" spans="1:2" x14ac:dyDescent="0.25">
      <c r="A31" s="3" t="s">
        <v>26</v>
      </c>
      <c r="B31" s="5">
        <f>23.17</f>
        <v>23.17</v>
      </c>
    </row>
    <row r="32" spans="1:2" x14ac:dyDescent="0.25">
      <c r="A32" s="3" t="s">
        <v>27</v>
      </c>
      <c r="B32" s="6">
        <f>(((B28)+(B29))+(B30))+(B31)</f>
        <v>227.7</v>
      </c>
    </row>
    <row r="33" spans="1:2" x14ac:dyDescent="0.25">
      <c r="A33" s="3" t="s">
        <v>28</v>
      </c>
      <c r="B33" s="5">
        <f>783.4</f>
        <v>783.4</v>
      </c>
    </row>
    <row r="34" spans="1:2" x14ac:dyDescent="0.25">
      <c r="A34" s="3" t="s">
        <v>29</v>
      </c>
      <c r="B34" s="5">
        <f>177.79</f>
        <v>177.79</v>
      </c>
    </row>
    <row r="35" spans="1:2" x14ac:dyDescent="0.25">
      <c r="A35" s="3" t="s">
        <v>30</v>
      </c>
      <c r="B35" s="6">
        <f>(B33)+(B34)</f>
        <v>961.18999999999994</v>
      </c>
    </row>
    <row r="36" spans="1:2" x14ac:dyDescent="0.25">
      <c r="A36" s="3" t="s">
        <v>31</v>
      </c>
      <c r="B36" s="4"/>
    </row>
    <row r="37" spans="1:2" x14ac:dyDescent="0.25">
      <c r="A37" s="3" t="s">
        <v>32</v>
      </c>
      <c r="B37" s="5">
        <f>5941.47</f>
        <v>5941.47</v>
      </c>
    </row>
    <row r="38" spans="1:2" x14ac:dyDescent="0.25">
      <c r="A38" s="3" t="s">
        <v>33</v>
      </c>
      <c r="B38" s="5">
        <f>1561.63</f>
        <v>1561.63</v>
      </c>
    </row>
    <row r="39" spans="1:2" x14ac:dyDescent="0.25">
      <c r="A39" s="3" t="s">
        <v>34</v>
      </c>
      <c r="B39" s="5">
        <f>45</f>
        <v>45</v>
      </c>
    </row>
    <row r="40" spans="1:2" x14ac:dyDescent="0.25">
      <c r="A40" s="3" t="s">
        <v>35</v>
      </c>
      <c r="B40" s="5">
        <f>301.7</f>
        <v>301.7</v>
      </c>
    </row>
    <row r="41" spans="1:2" x14ac:dyDescent="0.25">
      <c r="A41" s="3" t="s">
        <v>36</v>
      </c>
      <c r="B41" s="5">
        <f>3704.77</f>
        <v>3704.77</v>
      </c>
    </row>
    <row r="42" spans="1:2" x14ac:dyDescent="0.25">
      <c r="A42" s="3" t="s">
        <v>37</v>
      </c>
      <c r="B42" s="5">
        <f>1432.2</f>
        <v>1432.2</v>
      </c>
    </row>
    <row r="43" spans="1:2" x14ac:dyDescent="0.25">
      <c r="A43" s="3" t="s">
        <v>38</v>
      </c>
      <c r="B43" s="4"/>
    </row>
    <row r="44" spans="1:2" x14ac:dyDescent="0.25">
      <c r="A44" s="3" t="s">
        <v>39</v>
      </c>
      <c r="B44" s="5">
        <f>5202</f>
        <v>5202</v>
      </c>
    </row>
    <row r="45" spans="1:2" x14ac:dyDescent="0.25">
      <c r="A45" s="3" t="s">
        <v>40</v>
      </c>
      <c r="B45" s="5">
        <f>350</f>
        <v>350</v>
      </c>
    </row>
    <row r="46" spans="1:2" x14ac:dyDescent="0.25">
      <c r="A46" s="3" t="s">
        <v>41</v>
      </c>
      <c r="B46" s="6">
        <f>((B43)+(B44))+(B45)</f>
        <v>5552</v>
      </c>
    </row>
    <row r="47" spans="1:2" x14ac:dyDescent="0.25">
      <c r="A47" s="3" t="s">
        <v>42</v>
      </c>
      <c r="B47" s="5">
        <f>686.84</f>
        <v>686.84</v>
      </c>
    </row>
    <row r="48" spans="1:2" x14ac:dyDescent="0.25">
      <c r="A48" s="3" t="s">
        <v>43</v>
      </c>
      <c r="B48" s="5">
        <f>840</f>
        <v>840</v>
      </c>
    </row>
    <row r="49" spans="1:2" x14ac:dyDescent="0.25">
      <c r="A49" s="3" t="s">
        <v>44</v>
      </c>
      <c r="B49" s="5">
        <f>72.73</f>
        <v>72.73</v>
      </c>
    </row>
    <row r="50" spans="1:2" x14ac:dyDescent="0.25">
      <c r="A50" s="3" t="s">
        <v>45</v>
      </c>
      <c r="B50" s="5">
        <f>21375.12</f>
        <v>21375.119999999999</v>
      </c>
    </row>
    <row r="51" spans="1:2" x14ac:dyDescent="0.25">
      <c r="A51" s="3" t="s">
        <v>46</v>
      </c>
      <c r="B51" s="6">
        <f>(B49)+(B50)</f>
        <v>21447.85</v>
      </c>
    </row>
    <row r="52" spans="1:2" x14ac:dyDescent="0.25">
      <c r="A52" s="3" t="s">
        <v>47</v>
      </c>
      <c r="B52" s="5">
        <f>2075</f>
        <v>2075</v>
      </c>
    </row>
    <row r="53" spans="1:2" x14ac:dyDescent="0.25">
      <c r="A53" s="3" t="s">
        <v>48</v>
      </c>
      <c r="B53" s="6">
        <f>(((((((((((B36)+(B37))+(B38))+(B39))+(B40))+(B41))+(B42))+(B46))+(B47))+(B48))+(B51))+(B52)</f>
        <v>43588.46</v>
      </c>
    </row>
    <row r="54" spans="1:2" x14ac:dyDescent="0.25">
      <c r="A54" s="3" t="s">
        <v>49</v>
      </c>
      <c r="B54" s="6">
        <f>((B32)+(B35))+(B53)</f>
        <v>44777.35</v>
      </c>
    </row>
    <row r="55" spans="1:2" x14ac:dyDescent="0.25">
      <c r="A55" s="3" t="s">
        <v>50</v>
      </c>
      <c r="B55" s="6">
        <f>(B26)-(B54)</f>
        <v>1051.3400000000038</v>
      </c>
    </row>
    <row r="56" spans="1:2" x14ac:dyDescent="0.25">
      <c r="A56" s="3" t="s">
        <v>51</v>
      </c>
      <c r="B56" s="4"/>
    </row>
    <row r="57" spans="1:2" x14ac:dyDescent="0.25">
      <c r="A57" s="3" t="s">
        <v>52</v>
      </c>
      <c r="B57" s="5">
        <f>1.07</f>
        <v>1.07</v>
      </c>
    </row>
    <row r="58" spans="1:2" x14ac:dyDescent="0.25">
      <c r="A58" s="3" t="s">
        <v>53</v>
      </c>
      <c r="B58" s="5">
        <f>4295</f>
        <v>4295</v>
      </c>
    </row>
    <row r="59" spans="1:2" x14ac:dyDescent="0.25">
      <c r="A59" s="3" t="s">
        <v>54</v>
      </c>
      <c r="B59" s="6">
        <f>(B57)+(B58)</f>
        <v>4296.07</v>
      </c>
    </row>
    <row r="60" spans="1:2" x14ac:dyDescent="0.25">
      <c r="A60" s="3" t="s">
        <v>55</v>
      </c>
      <c r="B60" s="6">
        <f>(B59)-(0)</f>
        <v>4296.07</v>
      </c>
    </row>
    <row r="61" spans="1:2" x14ac:dyDescent="0.25">
      <c r="A61" s="3" t="s">
        <v>56</v>
      </c>
      <c r="B61" s="7">
        <f>(B55)+(B60)</f>
        <v>5347.4100000000035</v>
      </c>
    </row>
    <row r="62" spans="1:2" x14ac:dyDescent="0.25">
      <c r="A62" s="3"/>
      <c r="B62" s="4"/>
    </row>
    <row r="65" spans="1:2" x14ac:dyDescent="0.25">
      <c r="A65" s="24" t="s">
        <v>57</v>
      </c>
      <c r="B65" s="19"/>
    </row>
  </sheetData>
  <mergeCells count="4">
    <mergeCell ref="A65:B65"/>
    <mergeCell ref="A1:B1"/>
    <mergeCell ref="A2:B2"/>
    <mergeCell ref="A3:B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47F32-F11E-44DB-98AD-DFEC0FAC83E9}">
  <dimension ref="A1:S65"/>
  <sheetViews>
    <sheetView workbookViewId="0">
      <pane xSplit="1" ySplit="5" topLeftCell="H57" activePane="bottomRight" state="frozen"/>
      <selection pane="topRight" activeCell="B1" sqref="B1"/>
      <selection pane="bottomLeft" activeCell="A6" sqref="A6"/>
      <selection pane="bottomRight" activeCell="K63" sqref="K63"/>
    </sheetView>
  </sheetViews>
  <sheetFormatPr defaultRowHeight="15" x14ac:dyDescent="0.25"/>
  <cols>
    <col min="1" max="1" width="33.5703125" customWidth="1"/>
    <col min="2" max="19" width="12.28515625" customWidth="1"/>
  </cols>
  <sheetData>
    <row r="1" spans="1:19" ht="18" x14ac:dyDescent="0.25">
      <c r="A1" s="22" t="s">
        <v>58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18" x14ac:dyDescent="0.25">
      <c r="A2" s="22" t="s">
        <v>59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x14ac:dyDescent="0.25">
      <c r="A3" s="23" t="s">
        <v>60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5" spans="1:19" ht="36.75" x14ac:dyDescent="0.25">
      <c r="A5" s="1"/>
      <c r="B5" s="2" t="s">
        <v>90</v>
      </c>
      <c r="C5" s="2" t="s">
        <v>91</v>
      </c>
      <c r="D5" s="2" t="s">
        <v>92</v>
      </c>
      <c r="E5" s="2" t="s">
        <v>93</v>
      </c>
      <c r="F5" s="2" t="s">
        <v>94</v>
      </c>
      <c r="G5" s="2" t="s">
        <v>95</v>
      </c>
      <c r="H5" s="2" t="s">
        <v>96</v>
      </c>
      <c r="I5" s="2" t="s">
        <v>97</v>
      </c>
      <c r="J5" s="2" t="s">
        <v>98</v>
      </c>
      <c r="K5" s="2" t="s">
        <v>99</v>
      </c>
      <c r="L5" s="2" t="s">
        <v>100</v>
      </c>
      <c r="M5" s="2" t="s">
        <v>101</v>
      </c>
      <c r="N5" s="2" t="s">
        <v>102</v>
      </c>
      <c r="O5" s="2" t="s">
        <v>103</v>
      </c>
      <c r="P5" s="2" t="s">
        <v>104</v>
      </c>
      <c r="Q5" s="2" t="s">
        <v>105</v>
      </c>
      <c r="R5" s="2" t="s">
        <v>106</v>
      </c>
      <c r="S5" s="2" t="s">
        <v>107</v>
      </c>
    </row>
    <row r="6" spans="1:19" x14ac:dyDescent="0.25">
      <c r="A6" s="3" t="s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25">
      <c r="A7" s="3" t="s">
        <v>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>
        <f t="shared" ref="O7:O26" si="0">(M7)+(N7)</f>
        <v>0</v>
      </c>
      <c r="P7" s="4"/>
      <c r="Q7" s="4"/>
      <c r="R7" s="4"/>
      <c r="S7" s="5">
        <f t="shared" ref="S7:S26" si="1">((((((((((((((B7)+(C7))+(D7))+(E7))+(F7))+(G7))+(H7))+(I7))+(J7))+(K7))+(L7))+(O7))+(P7))+(Q7))+(R7)</f>
        <v>0</v>
      </c>
    </row>
    <row r="8" spans="1:19" x14ac:dyDescent="0.25">
      <c r="A8" s="3" t="s">
        <v>3</v>
      </c>
      <c r="B8" s="4"/>
      <c r="C8" s="4"/>
      <c r="D8" s="4"/>
      <c r="E8" s="5">
        <f>1750</f>
        <v>1750</v>
      </c>
      <c r="F8" s="4"/>
      <c r="G8" s="4"/>
      <c r="H8" s="5">
        <f>145.35</f>
        <v>145.35</v>
      </c>
      <c r="I8" s="4"/>
      <c r="J8" s="4"/>
      <c r="K8" s="5">
        <f>96.8</f>
        <v>96.8</v>
      </c>
      <c r="L8" s="4"/>
      <c r="M8" s="4"/>
      <c r="N8" s="4"/>
      <c r="O8" s="5">
        <f t="shared" si="0"/>
        <v>0</v>
      </c>
      <c r="P8" s="4"/>
      <c r="Q8" s="4"/>
      <c r="R8" s="4"/>
      <c r="S8" s="5">
        <f t="shared" si="1"/>
        <v>1992.1499999999999</v>
      </c>
    </row>
    <row r="9" spans="1:19" x14ac:dyDescent="0.25">
      <c r="A9" s="3" t="s">
        <v>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5">
        <f>31</f>
        <v>31</v>
      </c>
      <c r="O9" s="5">
        <f t="shared" si="0"/>
        <v>31</v>
      </c>
      <c r="P9" s="4"/>
      <c r="Q9" s="4"/>
      <c r="R9" s="4"/>
      <c r="S9" s="5">
        <f t="shared" si="1"/>
        <v>31</v>
      </c>
    </row>
    <row r="10" spans="1:19" x14ac:dyDescent="0.25">
      <c r="A10" s="3" t="s">
        <v>5</v>
      </c>
      <c r="B10" s="7">
        <f t="shared" ref="B10:N10" si="2">((B7)+(B8))+(B9)</f>
        <v>0</v>
      </c>
      <c r="C10" s="7">
        <f t="shared" si="2"/>
        <v>0</v>
      </c>
      <c r="D10" s="7">
        <f t="shared" si="2"/>
        <v>0</v>
      </c>
      <c r="E10" s="7">
        <f t="shared" si="2"/>
        <v>1750</v>
      </c>
      <c r="F10" s="7">
        <f t="shared" si="2"/>
        <v>0</v>
      </c>
      <c r="G10" s="7">
        <f t="shared" si="2"/>
        <v>0</v>
      </c>
      <c r="H10" s="7">
        <f t="shared" si="2"/>
        <v>145.35</v>
      </c>
      <c r="I10" s="7">
        <f t="shared" si="2"/>
        <v>0</v>
      </c>
      <c r="J10" s="7">
        <f t="shared" si="2"/>
        <v>0</v>
      </c>
      <c r="K10" s="7">
        <f t="shared" si="2"/>
        <v>96.8</v>
      </c>
      <c r="L10" s="7">
        <f t="shared" si="2"/>
        <v>0</v>
      </c>
      <c r="M10" s="7">
        <f t="shared" si="2"/>
        <v>0</v>
      </c>
      <c r="N10" s="7">
        <f t="shared" si="2"/>
        <v>31</v>
      </c>
      <c r="O10" s="7">
        <f t="shared" si="0"/>
        <v>31</v>
      </c>
      <c r="P10" s="7">
        <f>((P7)+(P8))+(P9)</f>
        <v>0</v>
      </c>
      <c r="Q10" s="7">
        <f>((Q7)+(Q8))+(Q9)</f>
        <v>0</v>
      </c>
      <c r="R10" s="7">
        <f>((R7)+(R8))+(R9)</f>
        <v>0</v>
      </c>
      <c r="S10" s="7">
        <f t="shared" si="1"/>
        <v>2023.1499999999999</v>
      </c>
    </row>
    <row r="11" spans="1:19" x14ac:dyDescent="0.25">
      <c r="A11" s="3" t="s">
        <v>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>
        <f t="shared" si="0"/>
        <v>0</v>
      </c>
      <c r="P11" s="4"/>
      <c r="Q11" s="4"/>
      <c r="R11" s="4"/>
      <c r="S11" s="5">
        <f t="shared" si="1"/>
        <v>0</v>
      </c>
    </row>
    <row r="12" spans="1:19" x14ac:dyDescent="0.25">
      <c r="A12" s="3" t="s">
        <v>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5">
        <f>278.15</f>
        <v>278.14999999999998</v>
      </c>
      <c r="O12" s="5">
        <f t="shared" si="0"/>
        <v>278.14999999999998</v>
      </c>
      <c r="P12" s="4"/>
      <c r="Q12" s="4"/>
      <c r="R12" s="4"/>
      <c r="S12" s="5">
        <f t="shared" si="1"/>
        <v>278.14999999999998</v>
      </c>
    </row>
    <row r="13" spans="1:19" x14ac:dyDescent="0.25">
      <c r="A13" s="3" t="s">
        <v>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5">
        <f t="shared" si="0"/>
        <v>0</v>
      </c>
      <c r="P13" s="5">
        <f>247</f>
        <v>247</v>
      </c>
      <c r="Q13" s="5">
        <f>500</f>
        <v>500</v>
      </c>
      <c r="R13" s="4"/>
      <c r="S13" s="5">
        <f t="shared" si="1"/>
        <v>747</v>
      </c>
    </row>
    <row r="14" spans="1:19" x14ac:dyDescent="0.25">
      <c r="A14" s="3" t="s">
        <v>9</v>
      </c>
      <c r="B14" s="4"/>
      <c r="C14" s="5">
        <f>967.3</f>
        <v>967.3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>
        <f t="shared" si="0"/>
        <v>0</v>
      </c>
      <c r="P14" s="4"/>
      <c r="Q14" s="4"/>
      <c r="R14" s="4"/>
      <c r="S14" s="5">
        <f t="shared" si="1"/>
        <v>967.3</v>
      </c>
    </row>
    <row r="15" spans="1:19" x14ac:dyDescent="0.25">
      <c r="A15" s="3" t="s">
        <v>10</v>
      </c>
      <c r="B15" s="4"/>
      <c r="C15" s="4"/>
      <c r="D15" s="5">
        <f>4754.35</f>
        <v>4754.3500000000004</v>
      </c>
      <c r="E15" s="4"/>
      <c r="F15" s="4"/>
      <c r="G15" s="4"/>
      <c r="H15" s="5">
        <f>8421.98</f>
        <v>8421.98</v>
      </c>
      <c r="I15" s="5">
        <f>10909.25</f>
        <v>10909.25</v>
      </c>
      <c r="J15" s="4"/>
      <c r="K15" s="4"/>
      <c r="L15" s="4"/>
      <c r="M15" s="4"/>
      <c r="N15" s="4"/>
      <c r="O15" s="5">
        <f t="shared" si="0"/>
        <v>0</v>
      </c>
      <c r="P15" s="4"/>
      <c r="Q15" s="4"/>
      <c r="R15" s="4"/>
      <c r="S15" s="5">
        <f t="shared" si="1"/>
        <v>24085.58</v>
      </c>
    </row>
    <row r="16" spans="1:19" x14ac:dyDescent="0.25">
      <c r="A16" s="3" t="s">
        <v>11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5">
        <f t="shared" si="0"/>
        <v>0</v>
      </c>
      <c r="P16" s="4"/>
      <c r="Q16" s="4"/>
      <c r="R16" s="4"/>
      <c r="S16" s="5">
        <f t="shared" si="1"/>
        <v>0</v>
      </c>
    </row>
    <row r="17" spans="1:19" x14ac:dyDescent="0.25">
      <c r="A17" s="3" t="s">
        <v>12</v>
      </c>
      <c r="B17" s="4"/>
      <c r="C17" s="5">
        <f>511.27</f>
        <v>511.27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5">
        <f t="shared" si="0"/>
        <v>0</v>
      </c>
      <c r="P17" s="4"/>
      <c r="Q17" s="4"/>
      <c r="R17" s="4"/>
      <c r="S17" s="5">
        <f t="shared" si="1"/>
        <v>511.27</v>
      </c>
    </row>
    <row r="18" spans="1:19" x14ac:dyDescent="0.25">
      <c r="A18" s="3" t="s">
        <v>13</v>
      </c>
      <c r="B18" s="4"/>
      <c r="C18" s="4"/>
      <c r="D18" s="5">
        <f>626.42</f>
        <v>626.41999999999996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5">
        <f t="shared" si="0"/>
        <v>0</v>
      </c>
      <c r="P18" s="4"/>
      <c r="Q18" s="4"/>
      <c r="R18" s="4"/>
      <c r="S18" s="5">
        <f t="shared" si="1"/>
        <v>626.41999999999996</v>
      </c>
    </row>
    <row r="19" spans="1:19" x14ac:dyDescent="0.25">
      <c r="A19" s="3" t="s">
        <v>14</v>
      </c>
      <c r="B19" s="4"/>
      <c r="C19" s="4"/>
      <c r="D19" s="4"/>
      <c r="E19" s="4"/>
      <c r="F19" s="4"/>
      <c r="G19" s="4"/>
      <c r="H19" s="4"/>
      <c r="I19" s="5">
        <f>341.25</f>
        <v>341.25</v>
      </c>
      <c r="J19" s="4"/>
      <c r="K19" s="4"/>
      <c r="L19" s="4"/>
      <c r="M19" s="4"/>
      <c r="N19" s="4"/>
      <c r="O19" s="5">
        <f t="shared" si="0"/>
        <v>0</v>
      </c>
      <c r="P19" s="4"/>
      <c r="Q19" s="4"/>
      <c r="R19" s="4"/>
      <c r="S19" s="5">
        <f t="shared" si="1"/>
        <v>341.25</v>
      </c>
    </row>
    <row r="20" spans="1:19" x14ac:dyDescent="0.25">
      <c r="A20" s="3" t="s">
        <v>15</v>
      </c>
      <c r="B20" s="7">
        <f t="shared" ref="B20:N20" si="3">(((B16)+(B17))+(B18))+(B19)</f>
        <v>0</v>
      </c>
      <c r="C20" s="7">
        <f t="shared" si="3"/>
        <v>511.27</v>
      </c>
      <c r="D20" s="7">
        <f t="shared" si="3"/>
        <v>626.41999999999996</v>
      </c>
      <c r="E20" s="7">
        <f t="shared" si="3"/>
        <v>0</v>
      </c>
      <c r="F20" s="7">
        <f t="shared" si="3"/>
        <v>0</v>
      </c>
      <c r="G20" s="7">
        <f t="shared" si="3"/>
        <v>0</v>
      </c>
      <c r="H20" s="7">
        <f t="shared" si="3"/>
        <v>0</v>
      </c>
      <c r="I20" s="7">
        <f t="shared" si="3"/>
        <v>341.25</v>
      </c>
      <c r="J20" s="7">
        <f t="shared" si="3"/>
        <v>0</v>
      </c>
      <c r="K20" s="7">
        <f t="shared" si="3"/>
        <v>0</v>
      </c>
      <c r="L20" s="7">
        <f t="shared" si="3"/>
        <v>0</v>
      </c>
      <c r="M20" s="7">
        <f t="shared" si="3"/>
        <v>0</v>
      </c>
      <c r="N20" s="7">
        <f t="shared" si="3"/>
        <v>0</v>
      </c>
      <c r="O20" s="7">
        <f t="shared" si="0"/>
        <v>0</v>
      </c>
      <c r="P20" s="7">
        <f>(((P16)+(P17))+(P18))+(P19)</f>
        <v>0</v>
      </c>
      <c r="Q20" s="7">
        <f>(((Q16)+(Q17))+(Q18))+(Q19)</f>
        <v>0</v>
      </c>
      <c r="R20" s="7">
        <f>(((R16)+(R17))+(R18))+(R19)</f>
        <v>0</v>
      </c>
      <c r="S20" s="7">
        <f t="shared" si="1"/>
        <v>1478.94</v>
      </c>
    </row>
    <row r="21" spans="1:19" x14ac:dyDescent="0.25">
      <c r="A21" s="3" t="s">
        <v>16</v>
      </c>
      <c r="B21" s="4"/>
      <c r="C21" s="4"/>
      <c r="D21" s="4"/>
      <c r="E21" s="4"/>
      <c r="F21" s="4"/>
      <c r="G21" s="4"/>
      <c r="H21" s="4"/>
      <c r="I21" s="5">
        <f>425</f>
        <v>425</v>
      </c>
      <c r="J21" s="4"/>
      <c r="K21" s="4"/>
      <c r="L21" s="4"/>
      <c r="M21" s="4"/>
      <c r="N21" s="4"/>
      <c r="O21" s="5">
        <f t="shared" si="0"/>
        <v>0</v>
      </c>
      <c r="P21" s="4"/>
      <c r="Q21" s="4"/>
      <c r="R21" s="4"/>
      <c r="S21" s="5">
        <f t="shared" si="1"/>
        <v>425</v>
      </c>
    </row>
    <row r="22" spans="1:19" x14ac:dyDescent="0.25">
      <c r="A22" s="3" t="s">
        <v>17</v>
      </c>
      <c r="B22" s="4"/>
      <c r="C22" s="4"/>
      <c r="D22" s="4"/>
      <c r="E22" s="4"/>
      <c r="F22" s="4"/>
      <c r="G22" s="4"/>
      <c r="H22" s="4"/>
      <c r="I22" s="4"/>
      <c r="J22" s="5">
        <f>400</f>
        <v>400</v>
      </c>
      <c r="K22" s="4"/>
      <c r="L22" s="4"/>
      <c r="M22" s="4"/>
      <c r="N22" s="4"/>
      <c r="O22" s="5">
        <f t="shared" si="0"/>
        <v>0</v>
      </c>
      <c r="P22" s="4"/>
      <c r="Q22" s="4"/>
      <c r="R22" s="4"/>
      <c r="S22" s="5">
        <f t="shared" si="1"/>
        <v>400</v>
      </c>
    </row>
    <row r="23" spans="1:19" x14ac:dyDescent="0.25">
      <c r="A23" s="3" t="s">
        <v>18</v>
      </c>
      <c r="B23" s="7">
        <f t="shared" ref="B23:N23" si="4">(((((((B11)+(B12))+(B13))+(B14))+(B15))+(B20))+(B21))+(B22)</f>
        <v>0</v>
      </c>
      <c r="C23" s="7">
        <f t="shared" si="4"/>
        <v>1478.57</v>
      </c>
      <c r="D23" s="7">
        <f t="shared" si="4"/>
        <v>5380.77</v>
      </c>
      <c r="E23" s="7">
        <f t="shared" si="4"/>
        <v>0</v>
      </c>
      <c r="F23" s="7">
        <f t="shared" si="4"/>
        <v>0</v>
      </c>
      <c r="G23" s="7">
        <f t="shared" si="4"/>
        <v>0</v>
      </c>
      <c r="H23" s="7">
        <f t="shared" si="4"/>
        <v>8421.98</v>
      </c>
      <c r="I23" s="7">
        <f t="shared" si="4"/>
        <v>11675.5</v>
      </c>
      <c r="J23" s="7">
        <f t="shared" si="4"/>
        <v>400</v>
      </c>
      <c r="K23" s="7">
        <f t="shared" si="4"/>
        <v>0</v>
      </c>
      <c r="L23" s="7">
        <f t="shared" si="4"/>
        <v>0</v>
      </c>
      <c r="M23" s="7">
        <f t="shared" si="4"/>
        <v>0</v>
      </c>
      <c r="N23" s="7">
        <f t="shared" si="4"/>
        <v>278.14999999999998</v>
      </c>
      <c r="O23" s="7">
        <f t="shared" si="0"/>
        <v>278.14999999999998</v>
      </c>
      <c r="P23" s="7">
        <f>(((((((P11)+(P12))+(P13))+(P14))+(P15))+(P20))+(P21))+(P22)</f>
        <v>247</v>
      </c>
      <c r="Q23" s="7">
        <f>(((((((Q11)+(Q12))+(Q13))+(Q14))+(Q15))+(Q20))+(Q21))+(Q22)</f>
        <v>500</v>
      </c>
      <c r="R23" s="7">
        <f>(((((((R11)+(R12))+(R13))+(R14))+(R15))+(R20))+(R21))+(R22)</f>
        <v>0</v>
      </c>
      <c r="S23" s="7">
        <f t="shared" si="1"/>
        <v>28381.97</v>
      </c>
    </row>
    <row r="24" spans="1:19" x14ac:dyDescent="0.25">
      <c r="A24" s="3" t="s">
        <v>19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5">
        <f>15423.57</f>
        <v>15423.57</v>
      </c>
      <c r="O24" s="5">
        <f t="shared" si="0"/>
        <v>15423.57</v>
      </c>
      <c r="P24" s="4"/>
      <c r="Q24" s="4"/>
      <c r="R24" s="4"/>
      <c r="S24" s="5">
        <f t="shared" si="1"/>
        <v>15423.57</v>
      </c>
    </row>
    <row r="25" spans="1:19" x14ac:dyDescent="0.25">
      <c r="A25" s="3" t="s">
        <v>20</v>
      </c>
      <c r="B25" s="7">
        <f t="shared" ref="B25:N25" si="5">((B10)+(B23))+(B24)</f>
        <v>0</v>
      </c>
      <c r="C25" s="7">
        <f t="shared" si="5"/>
        <v>1478.57</v>
      </c>
      <c r="D25" s="7">
        <f t="shared" si="5"/>
        <v>5380.77</v>
      </c>
      <c r="E25" s="7">
        <f t="shared" si="5"/>
        <v>1750</v>
      </c>
      <c r="F25" s="7">
        <f t="shared" si="5"/>
        <v>0</v>
      </c>
      <c r="G25" s="7">
        <f t="shared" si="5"/>
        <v>0</v>
      </c>
      <c r="H25" s="7">
        <f t="shared" si="5"/>
        <v>8567.33</v>
      </c>
      <c r="I25" s="7">
        <f t="shared" si="5"/>
        <v>11675.5</v>
      </c>
      <c r="J25" s="7">
        <f t="shared" si="5"/>
        <v>400</v>
      </c>
      <c r="K25" s="7">
        <f t="shared" si="5"/>
        <v>96.8</v>
      </c>
      <c r="L25" s="7">
        <f t="shared" si="5"/>
        <v>0</v>
      </c>
      <c r="M25" s="7">
        <f t="shared" si="5"/>
        <v>0</v>
      </c>
      <c r="N25" s="7">
        <f t="shared" si="5"/>
        <v>15732.72</v>
      </c>
      <c r="O25" s="7">
        <f t="shared" si="0"/>
        <v>15732.72</v>
      </c>
      <c r="P25" s="7">
        <f>((P10)+(P23))+(P24)</f>
        <v>247</v>
      </c>
      <c r="Q25" s="7">
        <f>((Q10)+(Q23))+(Q24)</f>
        <v>500</v>
      </c>
      <c r="R25" s="7">
        <f>((R10)+(R23))+(R24)</f>
        <v>0</v>
      </c>
      <c r="S25" s="7">
        <f t="shared" si="1"/>
        <v>45828.689999999995</v>
      </c>
    </row>
    <row r="26" spans="1:19" x14ac:dyDescent="0.25">
      <c r="A26" s="3" t="s">
        <v>21</v>
      </c>
      <c r="B26" s="7">
        <f t="shared" ref="B26:N26" si="6">(B25)-(0)</f>
        <v>0</v>
      </c>
      <c r="C26" s="7">
        <f t="shared" si="6"/>
        <v>1478.57</v>
      </c>
      <c r="D26" s="7">
        <f t="shared" si="6"/>
        <v>5380.77</v>
      </c>
      <c r="E26" s="7">
        <f t="shared" si="6"/>
        <v>1750</v>
      </c>
      <c r="F26" s="7">
        <f t="shared" si="6"/>
        <v>0</v>
      </c>
      <c r="G26" s="7">
        <f t="shared" si="6"/>
        <v>0</v>
      </c>
      <c r="H26" s="7">
        <f t="shared" si="6"/>
        <v>8567.33</v>
      </c>
      <c r="I26" s="7">
        <f t="shared" si="6"/>
        <v>11675.5</v>
      </c>
      <c r="J26" s="7">
        <f t="shared" si="6"/>
        <v>400</v>
      </c>
      <c r="K26" s="7">
        <f t="shared" si="6"/>
        <v>96.8</v>
      </c>
      <c r="L26" s="7">
        <f t="shared" si="6"/>
        <v>0</v>
      </c>
      <c r="M26" s="7">
        <f t="shared" si="6"/>
        <v>0</v>
      </c>
      <c r="N26" s="7">
        <f t="shared" si="6"/>
        <v>15732.72</v>
      </c>
      <c r="O26" s="7">
        <f t="shared" si="0"/>
        <v>15732.72</v>
      </c>
      <c r="P26" s="7">
        <f>(P25)-(0)</f>
        <v>247</v>
      </c>
      <c r="Q26" s="7">
        <f>(Q25)-(0)</f>
        <v>500</v>
      </c>
      <c r="R26" s="7">
        <f>(R25)-(0)</f>
        <v>0</v>
      </c>
      <c r="S26" s="7">
        <f t="shared" si="1"/>
        <v>45828.689999999995</v>
      </c>
    </row>
    <row r="27" spans="1:19" x14ac:dyDescent="0.25">
      <c r="A27" s="3" t="s">
        <v>22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x14ac:dyDescent="0.25">
      <c r="A28" s="3" t="s">
        <v>23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5">
        <f t="shared" ref="O28:O55" si="7">(M28)+(N28)</f>
        <v>0</v>
      </c>
      <c r="P28" s="4"/>
      <c r="Q28" s="4"/>
      <c r="R28" s="4"/>
      <c r="S28" s="5">
        <f t="shared" ref="S28:S55" si="8">((((((((((((((B28)+(C28))+(D28))+(E28))+(F28))+(G28))+(H28))+(I28))+(J28))+(K28))+(L28))+(O28))+(P28))+(Q28))+(R28)</f>
        <v>0</v>
      </c>
    </row>
    <row r="29" spans="1:19" x14ac:dyDescent="0.25">
      <c r="A29" s="3" t="s">
        <v>24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5">
        <f>105.53</f>
        <v>105.53</v>
      </c>
      <c r="O29" s="5">
        <f t="shared" si="7"/>
        <v>105.53</v>
      </c>
      <c r="P29" s="4"/>
      <c r="Q29" s="4"/>
      <c r="R29" s="4"/>
      <c r="S29" s="5">
        <f t="shared" si="8"/>
        <v>105.53</v>
      </c>
    </row>
    <row r="30" spans="1:19" x14ac:dyDescent="0.25">
      <c r="A30" s="3" t="s">
        <v>25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5">
        <f>99</f>
        <v>99</v>
      </c>
      <c r="O30" s="5">
        <f t="shared" si="7"/>
        <v>99</v>
      </c>
      <c r="P30" s="4"/>
      <c r="Q30" s="4"/>
      <c r="R30" s="4"/>
      <c r="S30" s="5">
        <f t="shared" si="8"/>
        <v>99</v>
      </c>
    </row>
    <row r="31" spans="1:19" x14ac:dyDescent="0.25">
      <c r="A31" s="3" t="s">
        <v>26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5">
        <f>23.17</f>
        <v>23.17</v>
      </c>
      <c r="O31" s="5">
        <f t="shared" si="7"/>
        <v>23.17</v>
      </c>
      <c r="P31" s="4"/>
      <c r="Q31" s="4"/>
      <c r="R31" s="4"/>
      <c r="S31" s="5">
        <f t="shared" si="8"/>
        <v>23.17</v>
      </c>
    </row>
    <row r="32" spans="1:19" x14ac:dyDescent="0.25">
      <c r="A32" s="3" t="s">
        <v>27</v>
      </c>
      <c r="B32" s="7">
        <f t="shared" ref="B32:N32" si="9">(((B28)+(B29))+(B30))+(B31)</f>
        <v>0</v>
      </c>
      <c r="C32" s="7">
        <f t="shared" si="9"/>
        <v>0</v>
      </c>
      <c r="D32" s="7">
        <f t="shared" si="9"/>
        <v>0</v>
      </c>
      <c r="E32" s="7">
        <f t="shared" si="9"/>
        <v>0</v>
      </c>
      <c r="F32" s="7">
        <f t="shared" si="9"/>
        <v>0</v>
      </c>
      <c r="G32" s="7">
        <f t="shared" si="9"/>
        <v>0</v>
      </c>
      <c r="H32" s="7">
        <f t="shared" si="9"/>
        <v>0</v>
      </c>
      <c r="I32" s="7">
        <f t="shared" si="9"/>
        <v>0</v>
      </c>
      <c r="J32" s="7">
        <f t="shared" si="9"/>
        <v>0</v>
      </c>
      <c r="K32" s="7">
        <f t="shared" si="9"/>
        <v>0</v>
      </c>
      <c r="L32" s="7">
        <f t="shared" si="9"/>
        <v>0</v>
      </c>
      <c r="M32" s="7">
        <f t="shared" si="9"/>
        <v>0</v>
      </c>
      <c r="N32" s="7">
        <f t="shared" si="9"/>
        <v>227.7</v>
      </c>
      <c r="O32" s="7">
        <f t="shared" si="7"/>
        <v>227.7</v>
      </c>
      <c r="P32" s="7">
        <f>(((P28)+(P29))+(P30))+(P31)</f>
        <v>0</v>
      </c>
      <c r="Q32" s="7">
        <f>(((Q28)+(Q29))+(Q30))+(Q31)</f>
        <v>0</v>
      </c>
      <c r="R32" s="7">
        <f>(((R28)+(R29))+(R30))+(R31)</f>
        <v>0</v>
      </c>
      <c r="S32" s="7">
        <f t="shared" si="8"/>
        <v>227.7</v>
      </c>
    </row>
    <row r="33" spans="1:19" x14ac:dyDescent="0.25">
      <c r="A33" s="3" t="s">
        <v>28</v>
      </c>
      <c r="B33" s="4"/>
      <c r="C33" s="4"/>
      <c r="D33" s="5">
        <f>783.4</f>
        <v>783.4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5">
        <f t="shared" si="7"/>
        <v>0</v>
      </c>
      <c r="P33" s="4"/>
      <c r="Q33" s="4"/>
      <c r="R33" s="4"/>
      <c r="S33" s="5">
        <f t="shared" si="8"/>
        <v>783.4</v>
      </c>
    </row>
    <row r="34" spans="1:19" x14ac:dyDescent="0.25">
      <c r="A34" s="3" t="s">
        <v>29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5">
        <f>177.79</f>
        <v>177.79</v>
      </c>
      <c r="O34" s="5">
        <f t="shared" si="7"/>
        <v>177.79</v>
      </c>
      <c r="P34" s="4"/>
      <c r="Q34" s="4"/>
      <c r="R34" s="4"/>
      <c r="S34" s="5">
        <f t="shared" si="8"/>
        <v>177.79</v>
      </c>
    </row>
    <row r="35" spans="1:19" x14ac:dyDescent="0.25">
      <c r="A35" s="3" t="s">
        <v>30</v>
      </c>
      <c r="B35" s="7">
        <f t="shared" ref="B35:N35" si="10">(B33)+(B34)</f>
        <v>0</v>
      </c>
      <c r="C35" s="7">
        <f t="shared" si="10"/>
        <v>0</v>
      </c>
      <c r="D35" s="7">
        <f t="shared" si="10"/>
        <v>783.4</v>
      </c>
      <c r="E35" s="7">
        <f t="shared" si="10"/>
        <v>0</v>
      </c>
      <c r="F35" s="7">
        <f t="shared" si="10"/>
        <v>0</v>
      </c>
      <c r="G35" s="7">
        <f t="shared" si="10"/>
        <v>0</v>
      </c>
      <c r="H35" s="7">
        <f t="shared" si="10"/>
        <v>0</v>
      </c>
      <c r="I35" s="7">
        <f t="shared" si="10"/>
        <v>0</v>
      </c>
      <c r="J35" s="7">
        <f t="shared" si="10"/>
        <v>0</v>
      </c>
      <c r="K35" s="7">
        <f t="shared" si="10"/>
        <v>0</v>
      </c>
      <c r="L35" s="7">
        <f t="shared" si="10"/>
        <v>0</v>
      </c>
      <c r="M35" s="7">
        <f t="shared" si="10"/>
        <v>0</v>
      </c>
      <c r="N35" s="7">
        <f t="shared" si="10"/>
        <v>177.79</v>
      </c>
      <c r="O35" s="7">
        <f t="shared" si="7"/>
        <v>177.79</v>
      </c>
      <c r="P35" s="7">
        <f>(P33)+(P34)</f>
        <v>0</v>
      </c>
      <c r="Q35" s="7">
        <f>(Q33)+(Q34)</f>
        <v>0</v>
      </c>
      <c r="R35" s="7">
        <f>(R33)+(R34)</f>
        <v>0</v>
      </c>
      <c r="S35" s="7">
        <f t="shared" si="8"/>
        <v>961.18999999999994</v>
      </c>
    </row>
    <row r="36" spans="1:19" x14ac:dyDescent="0.25">
      <c r="A36" s="3" t="s">
        <v>31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5">
        <f t="shared" si="7"/>
        <v>0</v>
      </c>
      <c r="P36" s="4"/>
      <c r="Q36" s="4"/>
      <c r="R36" s="4"/>
      <c r="S36" s="5">
        <f t="shared" si="8"/>
        <v>0</v>
      </c>
    </row>
    <row r="37" spans="1:19" x14ac:dyDescent="0.25">
      <c r="A37" s="3" t="s">
        <v>32</v>
      </c>
      <c r="B37" s="5">
        <f>4981.6</f>
        <v>4981.6000000000004</v>
      </c>
      <c r="C37" s="4"/>
      <c r="D37" s="4"/>
      <c r="E37" s="4"/>
      <c r="F37" s="4"/>
      <c r="G37" s="5">
        <f>492.4</f>
        <v>492.4</v>
      </c>
      <c r="H37" s="5">
        <f>355.41</f>
        <v>355.41</v>
      </c>
      <c r="I37" s="5">
        <f>112.06</f>
        <v>112.06</v>
      </c>
      <c r="J37" s="4"/>
      <c r="K37" s="4"/>
      <c r="L37" s="4"/>
      <c r="M37" s="4"/>
      <c r="N37" s="4"/>
      <c r="O37" s="5">
        <f t="shared" si="7"/>
        <v>0</v>
      </c>
      <c r="P37" s="4"/>
      <c r="Q37" s="4"/>
      <c r="R37" s="4"/>
      <c r="S37" s="5">
        <f t="shared" si="8"/>
        <v>5941.47</v>
      </c>
    </row>
    <row r="38" spans="1:19" x14ac:dyDescent="0.25">
      <c r="A38" s="3" t="s">
        <v>33</v>
      </c>
      <c r="B38" s="4"/>
      <c r="C38" s="4"/>
      <c r="D38" s="4"/>
      <c r="E38" s="4"/>
      <c r="F38" s="4"/>
      <c r="G38" s="4"/>
      <c r="H38" s="4"/>
      <c r="I38" s="4"/>
      <c r="J38" s="5">
        <f>1561.63</f>
        <v>1561.63</v>
      </c>
      <c r="K38" s="4"/>
      <c r="L38" s="4"/>
      <c r="M38" s="4"/>
      <c r="N38" s="4"/>
      <c r="O38" s="5">
        <f t="shared" si="7"/>
        <v>0</v>
      </c>
      <c r="P38" s="4"/>
      <c r="Q38" s="4"/>
      <c r="R38" s="4"/>
      <c r="S38" s="5">
        <f t="shared" si="8"/>
        <v>1561.63</v>
      </c>
    </row>
    <row r="39" spans="1:19" x14ac:dyDescent="0.25">
      <c r="A39" s="3" t="s">
        <v>34</v>
      </c>
      <c r="B39" s="4"/>
      <c r="C39" s="4"/>
      <c r="D39" s="4"/>
      <c r="E39" s="4"/>
      <c r="F39" s="4"/>
      <c r="G39" s="4"/>
      <c r="H39" s="5">
        <f>45</f>
        <v>45</v>
      </c>
      <c r="I39" s="4"/>
      <c r="J39" s="4"/>
      <c r="K39" s="4"/>
      <c r="L39" s="4"/>
      <c r="M39" s="4"/>
      <c r="N39" s="4"/>
      <c r="O39" s="5">
        <f t="shared" si="7"/>
        <v>0</v>
      </c>
      <c r="P39" s="4"/>
      <c r="Q39" s="4"/>
      <c r="R39" s="4"/>
      <c r="S39" s="5">
        <f t="shared" si="8"/>
        <v>45</v>
      </c>
    </row>
    <row r="40" spans="1:19" x14ac:dyDescent="0.25">
      <c r="A40" s="3" t="s">
        <v>35</v>
      </c>
      <c r="B40" s="4"/>
      <c r="C40" s="4"/>
      <c r="D40" s="4"/>
      <c r="E40" s="4"/>
      <c r="F40" s="4"/>
      <c r="G40" s="4"/>
      <c r="H40" s="4"/>
      <c r="I40" s="4"/>
      <c r="J40" s="4"/>
      <c r="K40" s="5">
        <f>301.7</f>
        <v>301.7</v>
      </c>
      <c r="L40" s="4"/>
      <c r="M40" s="4"/>
      <c r="N40" s="4"/>
      <c r="O40" s="5">
        <f t="shared" si="7"/>
        <v>0</v>
      </c>
      <c r="P40" s="4"/>
      <c r="Q40" s="4"/>
      <c r="R40" s="4"/>
      <c r="S40" s="5">
        <f t="shared" si="8"/>
        <v>301.7</v>
      </c>
    </row>
    <row r="41" spans="1:19" x14ac:dyDescent="0.25">
      <c r="A41" s="3" t="s">
        <v>36</v>
      </c>
      <c r="B41" s="5">
        <f>2011.43</f>
        <v>2011.43</v>
      </c>
      <c r="C41" s="4"/>
      <c r="D41" s="4"/>
      <c r="E41" s="4"/>
      <c r="F41" s="5">
        <f>1250</f>
        <v>1250</v>
      </c>
      <c r="G41" s="4"/>
      <c r="H41" s="4"/>
      <c r="I41" s="4"/>
      <c r="J41" s="5">
        <f>443.34</f>
        <v>443.34</v>
      </c>
      <c r="K41" s="4"/>
      <c r="L41" s="4"/>
      <c r="M41" s="4"/>
      <c r="N41" s="4"/>
      <c r="O41" s="5">
        <f t="shared" si="7"/>
        <v>0</v>
      </c>
      <c r="P41" s="4"/>
      <c r="Q41" s="4"/>
      <c r="R41" s="4"/>
      <c r="S41" s="5">
        <f t="shared" si="8"/>
        <v>3704.7700000000004</v>
      </c>
    </row>
    <row r="42" spans="1:19" x14ac:dyDescent="0.25">
      <c r="A42" s="3" t="s">
        <v>37</v>
      </c>
      <c r="B42" s="4"/>
      <c r="C42" s="5">
        <f>280</f>
        <v>280</v>
      </c>
      <c r="D42" s="4"/>
      <c r="E42" s="4"/>
      <c r="F42" s="4"/>
      <c r="G42" s="4"/>
      <c r="H42" s="5">
        <f>350</f>
        <v>350</v>
      </c>
      <c r="I42" s="5">
        <f>275.1</f>
        <v>275.10000000000002</v>
      </c>
      <c r="J42" s="4"/>
      <c r="K42" s="4"/>
      <c r="L42" s="4"/>
      <c r="M42" s="4"/>
      <c r="N42" s="5">
        <f>107.1</f>
        <v>107.1</v>
      </c>
      <c r="O42" s="5">
        <f t="shared" si="7"/>
        <v>107.1</v>
      </c>
      <c r="P42" s="4"/>
      <c r="Q42" s="4"/>
      <c r="R42" s="5">
        <f>420</f>
        <v>420</v>
      </c>
      <c r="S42" s="5">
        <f t="shared" si="8"/>
        <v>1432.2</v>
      </c>
    </row>
    <row r="43" spans="1:19" x14ac:dyDescent="0.25">
      <c r="A43" s="3" t="s">
        <v>38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5">
        <f t="shared" si="7"/>
        <v>0</v>
      </c>
      <c r="P43" s="4"/>
      <c r="Q43" s="4"/>
      <c r="R43" s="4"/>
      <c r="S43" s="5">
        <f t="shared" si="8"/>
        <v>0</v>
      </c>
    </row>
    <row r="44" spans="1:19" x14ac:dyDescent="0.25">
      <c r="A44" s="3" t="s">
        <v>39</v>
      </c>
      <c r="B44" s="4"/>
      <c r="C44" s="5">
        <f>1564</f>
        <v>1564</v>
      </c>
      <c r="D44" s="5">
        <f>901</f>
        <v>901</v>
      </c>
      <c r="E44" s="4"/>
      <c r="F44" s="4"/>
      <c r="G44" s="4"/>
      <c r="H44" s="5">
        <f>1649</f>
        <v>1649</v>
      </c>
      <c r="I44" s="5">
        <f>697</f>
        <v>697</v>
      </c>
      <c r="J44" s="4"/>
      <c r="K44" s="4"/>
      <c r="L44" s="4"/>
      <c r="M44" s="4"/>
      <c r="N44" s="4"/>
      <c r="O44" s="5">
        <f t="shared" si="7"/>
        <v>0</v>
      </c>
      <c r="P44" s="4"/>
      <c r="Q44" s="4"/>
      <c r="R44" s="5">
        <f>391</f>
        <v>391</v>
      </c>
      <c r="S44" s="5">
        <f t="shared" si="8"/>
        <v>5202</v>
      </c>
    </row>
    <row r="45" spans="1:19" x14ac:dyDescent="0.25">
      <c r="A45" s="3" t="s">
        <v>40</v>
      </c>
      <c r="B45" s="4"/>
      <c r="C45" s="4"/>
      <c r="D45" s="4"/>
      <c r="E45" s="5">
        <f>350</f>
        <v>350</v>
      </c>
      <c r="F45" s="4"/>
      <c r="G45" s="4"/>
      <c r="H45" s="4"/>
      <c r="I45" s="4"/>
      <c r="J45" s="4"/>
      <c r="K45" s="4"/>
      <c r="L45" s="4"/>
      <c r="M45" s="4"/>
      <c r="N45" s="4"/>
      <c r="O45" s="5">
        <f t="shared" si="7"/>
        <v>0</v>
      </c>
      <c r="P45" s="4"/>
      <c r="Q45" s="4"/>
      <c r="R45" s="4"/>
      <c r="S45" s="5">
        <f t="shared" si="8"/>
        <v>350</v>
      </c>
    </row>
    <row r="46" spans="1:19" x14ac:dyDescent="0.25">
      <c r="A46" s="3" t="s">
        <v>41</v>
      </c>
      <c r="B46" s="7">
        <f t="shared" ref="B46:N46" si="11">((B43)+(B44))+(B45)</f>
        <v>0</v>
      </c>
      <c r="C46" s="7">
        <f t="shared" si="11"/>
        <v>1564</v>
      </c>
      <c r="D46" s="7">
        <f t="shared" si="11"/>
        <v>901</v>
      </c>
      <c r="E46" s="7">
        <f t="shared" si="11"/>
        <v>350</v>
      </c>
      <c r="F46" s="7">
        <f t="shared" si="11"/>
        <v>0</v>
      </c>
      <c r="G46" s="7">
        <f t="shared" si="11"/>
        <v>0</v>
      </c>
      <c r="H46" s="7">
        <f t="shared" si="11"/>
        <v>1649</v>
      </c>
      <c r="I46" s="7">
        <f t="shared" si="11"/>
        <v>697</v>
      </c>
      <c r="J46" s="7">
        <f t="shared" si="11"/>
        <v>0</v>
      </c>
      <c r="K46" s="7">
        <f t="shared" si="11"/>
        <v>0</v>
      </c>
      <c r="L46" s="7">
        <f t="shared" si="11"/>
        <v>0</v>
      </c>
      <c r="M46" s="7">
        <f t="shared" si="11"/>
        <v>0</v>
      </c>
      <c r="N46" s="7">
        <f t="shared" si="11"/>
        <v>0</v>
      </c>
      <c r="O46" s="7">
        <f t="shared" si="7"/>
        <v>0</v>
      </c>
      <c r="P46" s="7">
        <f>((P43)+(P44))+(P45)</f>
        <v>0</v>
      </c>
      <c r="Q46" s="7">
        <f>((Q43)+(Q44))+(Q45)</f>
        <v>0</v>
      </c>
      <c r="R46" s="7">
        <f>((R43)+(R44))+(R45)</f>
        <v>391</v>
      </c>
      <c r="S46" s="7">
        <f t="shared" si="8"/>
        <v>5552</v>
      </c>
    </row>
    <row r="47" spans="1:19" x14ac:dyDescent="0.25">
      <c r="A47" s="3" t="s">
        <v>42</v>
      </c>
      <c r="B47" s="4"/>
      <c r="C47" s="4"/>
      <c r="D47" s="5">
        <f>386.11</f>
        <v>386.11</v>
      </c>
      <c r="E47" s="4"/>
      <c r="F47" s="4"/>
      <c r="G47" s="4"/>
      <c r="H47" s="4"/>
      <c r="I47" s="5">
        <f>300.73</f>
        <v>300.73</v>
      </c>
      <c r="J47" s="4"/>
      <c r="K47" s="4"/>
      <c r="L47" s="4"/>
      <c r="M47" s="4"/>
      <c r="N47" s="4"/>
      <c r="O47" s="5">
        <f t="shared" si="7"/>
        <v>0</v>
      </c>
      <c r="P47" s="4"/>
      <c r="Q47" s="4"/>
      <c r="R47" s="4"/>
      <c r="S47" s="5">
        <f t="shared" si="8"/>
        <v>686.84</v>
      </c>
    </row>
    <row r="48" spans="1:19" x14ac:dyDescent="0.25">
      <c r="A48" s="3" t="s">
        <v>43</v>
      </c>
      <c r="B48" s="4"/>
      <c r="C48" s="4"/>
      <c r="D48" s="4"/>
      <c r="E48" s="5">
        <f>840</f>
        <v>840</v>
      </c>
      <c r="F48" s="4"/>
      <c r="G48" s="4"/>
      <c r="H48" s="4"/>
      <c r="I48" s="4"/>
      <c r="J48" s="4"/>
      <c r="K48" s="4"/>
      <c r="L48" s="4"/>
      <c r="M48" s="4"/>
      <c r="N48" s="4"/>
      <c r="O48" s="5">
        <f t="shared" si="7"/>
        <v>0</v>
      </c>
      <c r="P48" s="4"/>
      <c r="Q48" s="4"/>
      <c r="R48" s="4"/>
      <c r="S48" s="5">
        <f t="shared" si="8"/>
        <v>840</v>
      </c>
    </row>
    <row r="49" spans="1:19" x14ac:dyDescent="0.25">
      <c r="A49" s="3" t="s">
        <v>44</v>
      </c>
      <c r="B49" s="4"/>
      <c r="C49" s="4"/>
      <c r="D49" s="4"/>
      <c r="E49" s="4"/>
      <c r="F49" s="4"/>
      <c r="G49" s="4"/>
      <c r="H49" s="4"/>
      <c r="I49" s="5">
        <f>72.73</f>
        <v>72.73</v>
      </c>
      <c r="J49" s="4"/>
      <c r="K49" s="4"/>
      <c r="L49" s="4"/>
      <c r="M49" s="4"/>
      <c r="N49" s="4"/>
      <c r="O49" s="5">
        <f t="shared" si="7"/>
        <v>0</v>
      </c>
      <c r="P49" s="4"/>
      <c r="Q49" s="4"/>
      <c r="R49" s="4"/>
      <c r="S49" s="5">
        <f t="shared" si="8"/>
        <v>72.73</v>
      </c>
    </row>
    <row r="50" spans="1:19" x14ac:dyDescent="0.25">
      <c r="A50" s="3" t="s">
        <v>45</v>
      </c>
      <c r="B50" s="5">
        <f>2671.17</f>
        <v>2671.17</v>
      </c>
      <c r="C50" s="5">
        <f>10339.47</f>
        <v>10339.469999999999</v>
      </c>
      <c r="D50" s="4"/>
      <c r="E50" s="4"/>
      <c r="F50" s="4"/>
      <c r="G50" s="4"/>
      <c r="H50" s="5">
        <f>4048.55</f>
        <v>4048.55</v>
      </c>
      <c r="I50" s="5">
        <f>4315.93</f>
        <v>4315.93</v>
      </c>
      <c r="J50" s="4"/>
      <c r="K50" s="4"/>
      <c r="L50" s="4"/>
      <c r="M50" s="4"/>
      <c r="N50" s="4"/>
      <c r="O50" s="5">
        <f t="shared" si="7"/>
        <v>0</v>
      </c>
      <c r="P50" s="4"/>
      <c r="Q50" s="4"/>
      <c r="R50" s="4"/>
      <c r="S50" s="5">
        <f t="shared" si="8"/>
        <v>21375.119999999999</v>
      </c>
    </row>
    <row r="51" spans="1:19" x14ac:dyDescent="0.25">
      <c r="A51" s="3" t="s">
        <v>46</v>
      </c>
      <c r="B51" s="7">
        <f t="shared" ref="B51:N51" si="12">(B49)+(B50)</f>
        <v>2671.17</v>
      </c>
      <c r="C51" s="7">
        <f t="shared" si="12"/>
        <v>10339.469999999999</v>
      </c>
      <c r="D51" s="7">
        <f t="shared" si="12"/>
        <v>0</v>
      </c>
      <c r="E51" s="7">
        <f t="shared" si="12"/>
        <v>0</v>
      </c>
      <c r="F51" s="7">
        <f t="shared" si="12"/>
        <v>0</v>
      </c>
      <c r="G51" s="7">
        <f t="shared" si="12"/>
        <v>0</v>
      </c>
      <c r="H51" s="7">
        <f t="shared" si="12"/>
        <v>4048.55</v>
      </c>
      <c r="I51" s="7">
        <f t="shared" si="12"/>
        <v>4388.66</v>
      </c>
      <c r="J51" s="7">
        <f t="shared" si="12"/>
        <v>0</v>
      </c>
      <c r="K51" s="7">
        <f t="shared" si="12"/>
        <v>0</v>
      </c>
      <c r="L51" s="7">
        <f t="shared" si="12"/>
        <v>0</v>
      </c>
      <c r="M51" s="7">
        <f t="shared" si="12"/>
        <v>0</v>
      </c>
      <c r="N51" s="7">
        <f t="shared" si="12"/>
        <v>0</v>
      </c>
      <c r="O51" s="7">
        <f t="shared" si="7"/>
        <v>0</v>
      </c>
      <c r="P51" s="7">
        <f>(P49)+(P50)</f>
        <v>0</v>
      </c>
      <c r="Q51" s="7">
        <f>(Q49)+(Q50)</f>
        <v>0</v>
      </c>
      <c r="R51" s="7">
        <f>(R49)+(R50)</f>
        <v>0</v>
      </c>
      <c r="S51" s="7">
        <f t="shared" si="8"/>
        <v>21447.85</v>
      </c>
    </row>
    <row r="52" spans="1:19" x14ac:dyDescent="0.25">
      <c r="A52" s="3" t="s">
        <v>47</v>
      </c>
      <c r="B52" s="4"/>
      <c r="C52" s="4"/>
      <c r="D52" s="4"/>
      <c r="E52" s="4"/>
      <c r="F52" s="5">
        <f>325</f>
        <v>325</v>
      </c>
      <c r="G52" s="4"/>
      <c r="H52" s="4"/>
      <c r="I52" s="4"/>
      <c r="J52" s="4"/>
      <c r="K52" s="4"/>
      <c r="L52" s="5">
        <f>330</f>
        <v>330</v>
      </c>
      <c r="M52" s="4"/>
      <c r="N52" s="4"/>
      <c r="O52" s="5">
        <f t="shared" si="7"/>
        <v>0</v>
      </c>
      <c r="P52" s="4"/>
      <c r="Q52" s="4"/>
      <c r="R52" s="5">
        <f>1420</f>
        <v>1420</v>
      </c>
      <c r="S52" s="5">
        <f t="shared" si="8"/>
        <v>2075</v>
      </c>
    </row>
    <row r="53" spans="1:19" x14ac:dyDescent="0.25">
      <c r="A53" s="3" t="s">
        <v>48</v>
      </c>
      <c r="B53" s="7">
        <f t="shared" ref="B53:N53" si="13">(((((((((((B36)+(B37))+(B38))+(B39))+(B40))+(B41))+(B42))+(B46))+(B47))+(B48))+(B51))+(B52)</f>
        <v>9664.2000000000007</v>
      </c>
      <c r="C53" s="7">
        <f t="shared" si="13"/>
        <v>12183.47</v>
      </c>
      <c r="D53" s="7">
        <f t="shared" si="13"/>
        <v>1287.1100000000001</v>
      </c>
      <c r="E53" s="7">
        <f t="shared" si="13"/>
        <v>1190</v>
      </c>
      <c r="F53" s="7">
        <f t="shared" si="13"/>
        <v>1575</v>
      </c>
      <c r="G53" s="7">
        <f t="shared" si="13"/>
        <v>492.4</v>
      </c>
      <c r="H53" s="7">
        <f t="shared" si="13"/>
        <v>6447.96</v>
      </c>
      <c r="I53" s="7">
        <f t="shared" si="13"/>
        <v>5773.55</v>
      </c>
      <c r="J53" s="7">
        <f t="shared" si="13"/>
        <v>2004.97</v>
      </c>
      <c r="K53" s="7">
        <f t="shared" si="13"/>
        <v>301.7</v>
      </c>
      <c r="L53" s="7">
        <f t="shared" si="13"/>
        <v>330</v>
      </c>
      <c r="M53" s="7">
        <f t="shared" si="13"/>
        <v>0</v>
      </c>
      <c r="N53" s="7">
        <f t="shared" si="13"/>
        <v>107.1</v>
      </c>
      <c r="O53" s="7">
        <f t="shared" si="7"/>
        <v>107.1</v>
      </c>
      <c r="P53" s="7">
        <f>(((((((((((P36)+(P37))+(P38))+(P39))+(P40))+(P41))+(P42))+(P46))+(P47))+(P48))+(P51))+(P52)</f>
        <v>0</v>
      </c>
      <c r="Q53" s="7">
        <f>(((((((((((Q36)+(Q37))+(Q38))+(Q39))+(Q40))+(Q41))+(Q42))+(Q46))+(Q47))+(Q48))+(Q51))+(Q52)</f>
        <v>0</v>
      </c>
      <c r="R53" s="7">
        <f>(((((((((((R36)+(R37))+(R38))+(R39))+(R40))+(R41))+(R42))+(R46))+(R47))+(R48))+(R51))+(R52)</f>
        <v>2231</v>
      </c>
      <c r="S53" s="7">
        <f t="shared" si="8"/>
        <v>43588.46</v>
      </c>
    </row>
    <row r="54" spans="1:19" x14ac:dyDescent="0.25">
      <c r="A54" s="3" t="s">
        <v>49</v>
      </c>
      <c r="B54" s="7">
        <f t="shared" ref="B54:N54" si="14">((B32)+(B35))+(B53)</f>
        <v>9664.2000000000007</v>
      </c>
      <c r="C54" s="7">
        <f t="shared" si="14"/>
        <v>12183.47</v>
      </c>
      <c r="D54" s="7">
        <f t="shared" si="14"/>
        <v>2070.5100000000002</v>
      </c>
      <c r="E54" s="7">
        <f t="shared" si="14"/>
        <v>1190</v>
      </c>
      <c r="F54" s="7">
        <f t="shared" si="14"/>
        <v>1575</v>
      </c>
      <c r="G54" s="7">
        <f t="shared" si="14"/>
        <v>492.4</v>
      </c>
      <c r="H54" s="7">
        <f t="shared" si="14"/>
        <v>6447.96</v>
      </c>
      <c r="I54" s="7">
        <f t="shared" si="14"/>
        <v>5773.55</v>
      </c>
      <c r="J54" s="7">
        <f t="shared" si="14"/>
        <v>2004.97</v>
      </c>
      <c r="K54" s="7">
        <f t="shared" si="14"/>
        <v>301.7</v>
      </c>
      <c r="L54" s="7">
        <f t="shared" si="14"/>
        <v>330</v>
      </c>
      <c r="M54" s="7">
        <f t="shared" si="14"/>
        <v>0</v>
      </c>
      <c r="N54" s="7">
        <f t="shared" si="14"/>
        <v>512.59</v>
      </c>
      <c r="O54" s="7">
        <f t="shared" si="7"/>
        <v>512.59</v>
      </c>
      <c r="P54" s="7">
        <f>((P32)+(P35))+(P53)</f>
        <v>0</v>
      </c>
      <c r="Q54" s="7">
        <f>((Q32)+(Q35))+(Q53)</f>
        <v>0</v>
      </c>
      <c r="R54" s="7">
        <f>((R32)+(R35))+(R53)</f>
        <v>2231</v>
      </c>
      <c r="S54" s="7">
        <f t="shared" si="8"/>
        <v>44777.35</v>
      </c>
    </row>
    <row r="55" spans="1:19" x14ac:dyDescent="0.25">
      <c r="A55" s="3" t="s">
        <v>50</v>
      </c>
      <c r="B55" s="7">
        <f t="shared" ref="B55:N55" si="15">(B26)-(B54)</f>
        <v>-9664.2000000000007</v>
      </c>
      <c r="C55" s="7">
        <f t="shared" si="15"/>
        <v>-10704.9</v>
      </c>
      <c r="D55" s="7">
        <f t="shared" si="15"/>
        <v>3310.26</v>
      </c>
      <c r="E55" s="7">
        <f t="shared" si="15"/>
        <v>560</v>
      </c>
      <c r="F55" s="7">
        <f t="shared" si="15"/>
        <v>-1575</v>
      </c>
      <c r="G55" s="7">
        <f t="shared" si="15"/>
        <v>-492.4</v>
      </c>
      <c r="H55" s="7">
        <f t="shared" si="15"/>
        <v>2119.37</v>
      </c>
      <c r="I55" s="7">
        <f t="shared" si="15"/>
        <v>5901.95</v>
      </c>
      <c r="J55" s="7">
        <f t="shared" si="15"/>
        <v>-1604.97</v>
      </c>
      <c r="K55" s="7">
        <f t="shared" si="15"/>
        <v>-204.89999999999998</v>
      </c>
      <c r="L55" s="7">
        <f t="shared" si="15"/>
        <v>-330</v>
      </c>
      <c r="M55" s="7">
        <f t="shared" si="15"/>
        <v>0</v>
      </c>
      <c r="N55" s="7">
        <f t="shared" si="15"/>
        <v>15220.13</v>
      </c>
      <c r="O55" s="7">
        <f t="shared" si="7"/>
        <v>15220.13</v>
      </c>
      <c r="P55" s="7">
        <f>(P26)-(P54)</f>
        <v>247</v>
      </c>
      <c r="Q55" s="7">
        <f>(Q26)-(Q54)</f>
        <v>500</v>
      </c>
      <c r="R55" s="7">
        <f>(R26)-(R54)</f>
        <v>-2231</v>
      </c>
      <c r="S55" s="7">
        <f t="shared" si="8"/>
        <v>1051.340000000002</v>
      </c>
    </row>
    <row r="56" spans="1:19" x14ac:dyDescent="0.25">
      <c r="A56" s="3" t="s">
        <v>51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x14ac:dyDescent="0.25">
      <c r="A57" s="3" t="s">
        <v>52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5">
        <f>1.07</f>
        <v>1.07</v>
      </c>
      <c r="O57" s="5">
        <f>(M57)+(N57)</f>
        <v>1.07</v>
      </c>
      <c r="P57" s="4"/>
      <c r="Q57" s="4"/>
      <c r="R57" s="4"/>
      <c r="S57" s="5">
        <f>((((((((((((((B57)+(C57))+(D57))+(E57))+(F57))+(G57))+(H57))+(I57))+(J57))+(K57))+(L57))+(O57))+(P57))+(Q57))+(R57)</f>
        <v>1.07</v>
      </c>
    </row>
    <row r="58" spans="1:19" x14ac:dyDescent="0.25">
      <c r="A58" s="3" t="s">
        <v>53</v>
      </c>
      <c r="B58" s="4"/>
      <c r="C58" s="4"/>
      <c r="D58" s="4"/>
      <c r="E58" s="5">
        <f>4295</f>
        <v>4295</v>
      </c>
      <c r="F58" s="4"/>
      <c r="G58" s="4"/>
      <c r="H58" s="4"/>
      <c r="I58" s="4"/>
      <c r="J58" s="4"/>
      <c r="K58" s="4"/>
      <c r="L58" s="4"/>
      <c r="M58" s="4"/>
      <c r="N58" s="4"/>
      <c r="O58" s="5">
        <f>(M58)+(N58)</f>
        <v>0</v>
      </c>
      <c r="P58" s="4"/>
      <c r="Q58" s="4"/>
      <c r="R58" s="4"/>
      <c r="S58" s="5">
        <f>((((((((((((((B58)+(C58))+(D58))+(E58))+(F58))+(G58))+(H58))+(I58))+(J58))+(K58))+(L58))+(O58))+(P58))+(Q58))+(R58)</f>
        <v>4295</v>
      </c>
    </row>
    <row r="59" spans="1:19" x14ac:dyDescent="0.25">
      <c r="A59" s="3" t="s">
        <v>54</v>
      </c>
      <c r="B59" s="7">
        <f t="shared" ref="B59:N59" si="16">(B57)+(B58)</f>
        <v>0</v>
      </c>
      <c r="C59" s="7">
        <f t="shared" si="16"/>
        <v>0</v>
      </c>
      <c r="D59" s="7">
        <f t="shared" si="16"/>
        <v>0</v>
      </c>
      <c r="E59" s="7">
        <f t="shared" si="16"/>
        <v>4295</v>
      </c>
      <c r="F59" s="7">
        <f t="shared" si="16"/>
        <v>0</v>
      </c>
      <c r="G59" s="7">
        <f t="shared" si="16"/>
        <v>0</v>
      </c>
      <c r="H59" s="7">
        <f t="shared" si="16"/>
        <v>0</v>
      </c>
      <c r="I59" s="7">
        <f t="shared" si="16"/>
        <v>0</v>
      </c>
      <c r="J59" s="7">
        <f t="shared" si="16"/>
        <v>0</v>
      </c>
      <c r="K59" s="7">
        <f t="shared" si="16"/>
        <v>0</v>
      </c>
      <c r="L59" s="7">
        <f t="shared" si="16"/>
        <v>0</v>
      </c>
      <c r="M59" s="7">
        <f t="shared" si="16"/>
        <v>0</v>
      </c>
      <c r="N59" s="7">
        <f t="shared" si="16"/>
        <v>1.07</v>
      </c>
      <c r="O59" s="7">
        <f>(M59)+(N59)</f>
        <v>1.07</v>
      </c>
      <c r="P59" s="7">
        <f>(P57)+(P58)</f>
        <v>0</v>
      </c>
      <c r="Q59" s="7">
        <f>(Q57)+(Q58)</f>
        <v>0</v>
      </c>
      <c r="R59" s="7">
        <f>(R57)+(R58)</f>
        <v>0</v>
      </c>
      <c r="S59" s="7">
        <f>((((((((((((((B59)+(C59))+(D59))+(E59))+(F59))+(G59))+(H59))+(I59))+(J59))+(K59))+(L59))+(O59))+(P59))+(Q59))+(R59)</f>
        <v>4296.07</v>
      </c>
    </row>
    <row r="60" spans="1:19" x14ac:dyDescent="0.25">
      <c r="A60" s="3" t="s">
        <v>55</v>
      </c>
      <c r="B60" s="7">
        <f t="shared" ref="B60:N60" si="17">(B59)-(0)</f>
        <v>0</v>
      </c>
      <c r="C60" s="7">
        <f t="shared" si="17"/>
        <v>0</v>
      </c>
      <c r="D60" s="7">
        <f t="shared" si="17"/>
        <v>0</v>
      </c>
      <c r="E60" s="7">
        <f t="shared" si="17"/>
        <v>4295</v>
      </c>
      <c r="F60" s="7">
        <f t="shared" si="17"/>
        <v>0</v>
      </c>
      <c r="G60" s="7">
        <f t="shared" si="17"/>
        <v>0</v>
      </c>
      <c r="H60" s="7">
        <f t="shared" si="17"/>
        <v>0</v>
      </c>
      <c r="I60" s="7">
        <f t="shared" si="17"/>
        <v>0</v>
      </c>
      <c r="J60" s="7">
        <f t="shared" si="17"/>
        <v>0</v>
      </c>
      <c r="K60" s="7">
        <f t="shared" si="17"/>
        <v>0</v>
      </c>
      <c r="L60" s="7">
        <f t="shared" si="17"/>
        <v>0</v>
      </c>
      <c r="M60" s="7">
        <f t="shared" si="17"/>
        <v>0</v>
      </c>
      <c r="N60" s="7">
        <f t="shared" si="17"/>
        <v>1.07</v>
      </c>
      <c r="O60" s="7">
        <f>(M60)+(N60)</f>
        <v>1.07</v>
      </c>
      <c r="P60" s="7">
        <f>(P59)-(0)</f>
        <v>0</v>
      </c>
      <c r="Q60" s="7">
        <f>(Q59)-(0)</f>
        <v>0</v>
      </c>
      <c r="R60" s="7">
        <f>(R59)-(0)</f>
        <v>0</v>
      </c>
      <c r="S60" s="7">
        <f>((((((((((((((B60)+(C60))+(D60))+(E60))+(F60))+(G60))+(H60))+(I60))+(J60))+(K60))+(L60))+(O60))+(P60))+(Q60))+(R60)</f>
        <v>4296.07</v>
      </c>
    </row>
    <row r="61" spans="1:19" ht="15.75" thickBot="1" x14ac:dyDescent="0.3">
      <c r="A61" s="3" t="s">
        <v>56</v>
      </c>
      <c r="B61" s="7">
        <f t="shared" ref="B61:N61" si="18">(B55)+(B60)</f>
        <v>-9664.2000000000007</v>
      </c>
      <c r="C61" s="7">
        <f t="shared" si="18"/>
        <v>-10704.9</v>
      </c>
      <c r="D61" s="7">
        <f t="shared" si="18"/>
        <v>3310.26</v>
      </c>
      <c r="E61" s="7">
        <f t="shared" si="18"/>
        <v>4855</v>
      </c>
      <c r="F61" s="7">
        <f t="shared" si="18"/>
        <v>-1575</v>
      </c>
      <c r="G61" s="7">
        <f t="shared" si="18"/>
        <v>-492.4</v>
      </c>
      <c r="H61" s="7">
        <f t="shared" si="18"/>
        <v>2119.37</v>
      </c>
      <c r="I61" s="7">
        <f t="shared" si="18"/>
        <v>5901.95</v>
      </c>
      <c r="J61" s="7">
        <f t="shared" si="18"/>
        <v>-1604.97</v>
      </c>
      <c r="K61" s="7">
        <f t="shared" si="18"/>
        <v>-204.89999999999998</v>
      </c>
      <c r="L61" s="7">
        <f t="shared" si="18"/>
        <v>-330</v>
      </c>
      <c r="M61" s="7">
        <f t="shared" si="18"/>
        <v>0</v>
      </c>
      <c r="N61" s="7">
        <f t="shared" si="18"/>
        <v>15221.199999999999</v>
      </c>
      <c r="O61" s="7">
        <f>(M61)+(N61)</f>
        <v>15221.199999999999</v>
      </c>
      <c r="P61" s="7">
        <f>(P55)+(P60)</f>
        <v>247</v>
      </c>
      <c r="Q61" s="7">
        <f>(Q55)+(Q60)</f>
        <v>500</v>
      </c>
      <c r="R61" s="7">
        <f>(R55)+(R60)</f>
        <v>-2231</v>
      </c>
      <c r="S61" s="7">
        <f>((((((((((((((B61)+(C61))+(D61))+(E61))+(F61))+(G61))+(H61))+(I61))+(J61))+(K61))+(L61))+(O61))+(P61))+(Q61))+(R61)</f>
        <v>5347.4100000000035</v>
      </c>
    </row>
    <row r="62" spans="1:19" s="9" customFormat="1" ht="12" thickBot="1" x14ac:dyDescent="0.25">
      <c r="A62" s="10" t="s">
        <v>108</v>
      </c>
      <c r="B62" s="13">
        <v>11286.22</v>
      </c>
      <c r="C62" s="13">
        <v>11277.25</v>
      </c>
      <c r="D62" s="13">
        <v>2899.3</v>
      </c>
      <c r="E62" s="13">
        <v>-719.91</v>
      </c>
      <c r="F62" s="13">
        <v>0</v>
      </c>
      <c r="G62" s="13">
        <v>9581.14</v>
      </c>
      <c r="H62" s="13">
        <v>-839.89</v>
      </c>
      <c r="I62" s="13">
        <v>16978.64</v>
      </c>
      <c r="J62" s="13">
        <v>6671.76</v>
      </c>
      <c r="K62" s="13">
        <v>861.27</v>
      </c>
      <c r="L62" s="13">
        <v>3468.64</v>
      </c>
      <c r="M62" s="13"/>
      <c r="N62" s="13"/>
      <c r="O62" s="13"/>
      <c r="P62" s="13">
        <v>9598.3799999999992</v>
      </c>
      <c r="Q62" s="13">
        <v>6254.46</v>
      </c>
      <c r="R62" s="13">
        <v>8296.42</v>
      </c>
      <c r="S62" s="13"/>
    </row>
    <row r="63" spans="1:19" s="9" customFormat="1" ht="12" thickBot="1" x14ac:dyDescent="0.25">
      <c r="A63" s="11" t="s">
        <v>109</v>
      </c>
      <c r="B63" s="12">
        <v>0</v>
      </c>
      <c r="C63" s="12">
        <f>C44/2+C42</f>
        <v>1062</v>
      </c>
      <c r="D63" s="12">
        <f>D44/2</f>
        <v>450.5</v>
      </c>
      <c r="E63" s="12">
        <v>0</v>
      </c>
      <c r="F63" s="12">
        <v>0</v>
      </c>
      <c r="G63" s="12">
        <v>0</v>
      </c>
      <c r="H63" s="12">
        <f>H44/2+H42</f>
        <v>1174.5</v>
      </c>
      <c r="I63" s="12">
        <f>I44/2+210</f>
        <v>558.5</v>
      </c>
      <c r="J63" s="12">
        <f>J38</f>
        <v>1561.63</v>
      </c>
      <c r="K63" s="12">
        <v>0</v>
      </c>
      <c r="L63" s="12">
        <v>0</v>
      </c>
      <c r="M63" s="12"/>
      <c r="N63" s="12"/>
      <c r="O63" s="12"/>
      <c r="P63" s="12">
        <v>0</v>
      </c>
      <c r="Q63" s="12">
        <v>0</v>
      </c>
      <c r="R63" s="12">
        <f>R44/2+R42</f>
        <v>615.5</v>
      </c>
      <c r="S63" s="12"/>
    </row>
    <row r="64" spans="1:19" s="9" customFormat="1" ht="12" thickBot="1" x14ac:dyDescent="0.25">
      <c r="A64" s="11" t="s">
        <v>110</v>
      </c>
      <c r="B64" s="12">
        <f>B61+B63</f>
        <v>-9664.2000000000007</v>
      </c>
      <c r="C64" s="12">
        <f t="shared" ref="C64:R64" si="19">C61+C63</f>
        <v>-9642.9</v>
      </c>
      <c r="D64" s="12">
        <f t="shared" si="19"/>
        <v>3760.76</v>
      </c>
      <c r="E64" s="12">
        <f t="shared" si="19"/>
        <v>4855</v>
      </c>
      <c r="F64" s="12">
        <f t="shared" si="19"/>
        <v>-1575</v>
      </c>
      <c r="G64" s="12">
        <f t="shared" si="19"/>
        <v>-492.4</v>
      </c>
      <c r="H64" s="12">
        <f t="shared" si="19"/>
        <v>3293.87</v>
      </c>
      <c r="I64" s="12">
        <f t="shared" si="19"/>
        <v>6460.45</v>
      </c>
      <c r="J64" s="12">
        <f t="shared" si="19"/>
        <v>-43.339999999999918</v>
      </c>
      <c r="K64" s="12">
        <f t="shared" si="19"/>
        <v>-204.89999999999998</v>
      </c>
      <c r="L64" s="12">
        <f t="shared" si="19"/>
        <v>-330</v>
      </c>
      <c r="M64" s="12"/>
      <c r="N64" s="12"/>
      <c r="O64" s="12"/>
      <c r="P64" s="12">
        <f t="shared" si="19"/>
        <v>247</v>
      </c>
      <c r="Q64" s="12">
        <f t="shared" si="19"/>
        <v>500</v>
      </c>
      <c r="R64" s="12">
        <f t="shared" si="19"/>
        <v>-1615.5</v>
      </c>
      <c r="S64" s="12"/>
    </row>
    <row r="65" spans="1:19" s="9" customFormat="1" ht="12" thickBot="1" x14ac:dyDescent="0.25">
      <c r="A65" s="11" t="s">
        <v>111</v>
      </c>
      <c r="B65" s="12">
        <f>B62+B64</f>
        <v>1622.0199999999986</v>
      </c>
      <c r="C65" s="12">
        <f t="shared" ref="C65:R65" si="20">C62+C64</f>
        <v>1634.3500000000004</v>
      </c>
      <c r="D65" s="12">
        <f t="shared" si="20"/>
        <v>6660.06</v>
      </c>
      <c r="E65" s="12">
        <f t="shared" si="20"/>
        <v>4135.09</v>
      </c>
      <c r="F65" s="12">
        <f t="shared" si="20"/>
        <v>-1575</v>
      </c>
      <c r="G65" s="12">
        <f t="shared" si="20"/>
        <v>9088.74</v>
      </c>
      <c r="H65" s="12">
        <f t="shared" si="20"/>
        <v>2453.98</v>
      </c>
      <c r="I65" s="12">
        <f t="shared" si="20"/>
        <v>23439.09</v>
      </c>
      <c r="J65" s="12">
        <f t="shared" si="20"/>
        <v>6628.42</v>
      </c>
      <c r="K65" s="12">
        <f t="shared" si="20"/>
        <v>656.37</v>
      </c>
      <c r="L65" s="12">
        <f t="shared" si="20"/>
        <v>3138.64</v>
      </c>
      <c r="M65" s="12"/>
      <c r="N65" s="12"/>
      <c r="O65" s="12"/>
      <c r="P65" s="12">
        <f t="shared" si="20"/>
        <v>9845.3799999999992</v>
      </c>
      <c r="Q65" s="12">
        <f t="shared" si="20"/>
        <v>6754.46</v>
      </c>
      <c r="R65" s="12">
        <f t="shared" si="20"/>
        <v>6680.92</v>
      </c>
      <c r="S65" s="12"/>
    </row>
  </sheetData>
  <mergeCells count="3">
    <mergeCell ref="A1:S1"/>
    <mergeCell ref="A2:S2"/>
    <mergeCell ref="A3:S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Stmt of Financial Position</vt:lpstr>
      <vt:lpstr>Statement of Activity</vt:lpstr>
      <vt:lpstr>Feb Stmt of Activity</vt:lpstr>
      <vt:lpstr>Feb Stmt of Activity by Sport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Marconi Avenue Chiro</cp:lastModifiedBy>
  <dcterms:created xsi:type="dcterms:W3CDTF">2025-03-10T21:37:55Z</dcterms:created>
  <dcterms:modified xsi:type="dcterms:W3CDTF">2025-03-10T23:58:12Z</dcterms:modified>
</cp:coreProperties>
</file>